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9720" windowHeight="6300" activeTab="0"/>
  </bookViews>
  <sheets>
    <sheet name="Лист2" sheetId="1" r:id="rId1"/>
  </sheets>
  <definedNames>
    <definedName name="_xlnm.Print_Titles" localSheetId="0">'Лист2'!$7:$11</definedName>
    <definedName name="_xlnm.Print_Area" localSheetId="0">'Лист2'!$A$1:$S$314</definedName>
  </definedNames>
  <calcPr fullCalcOnLoad="1"/>
</workbook>
</file>

<file path=xl/sharedStrings.xml><?xml version="1.0" encoding="utf-8"?>
<sst xmlns="http://schemas.openxmlformats.org/spreadsheetml/2006/main" count="964" uniqueCount="732">
  <si>
    <t>091303</t>
  </si>
  <si>
    <t>091304</t>
  </si>
  <si>
    <t>100208</t>
  </si>
  <si>
    <t>240900</t>
  </si>
  <si>
    <t>Інші культурно-освітні заклади та заходи (Централізована бухгалтерія)</t>
  </si>
  <si>
    <t xml:space="preserve"> - міська програма реформування медичного обслуговування населення м. Южноукраїнська на 2013-2018 р.</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</si>
  <si>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</si>
  <si>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</si>
  <si>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250102</t>
  </si>
  <si>
    <t>Резервний фонд</t>
  </si>
  <si>
    <t>250388</t>
  </si>
  <si>
    <t>150110</t>
  </si>
  <si>
    <t>Проведення невідкладних відновлювальних робіт, будівництво та реконструкція загальноосвітніх навчальних закладів</t>
  </si>
  <si>
    <t>120201</t>
  </si>
  <si>
    <t>видатки споживання</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</si>
  <si>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</si>
  <si>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</si>
  <si>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Назва головного розпорядника коштів</t>
  </si>
  <si>
    <t>081002</t>
  </si>
  <si>
    <t>1512220</t>
  </si>
  <si>
    <t>Інші заходи в галузі охорони здоров'я - всього,                                              в тому числі:</t>
  </si>
  <si>
    <t xml:space="preserve"> - міська програма реформування медичного обслуговування населення міста Южноукраїнська на 2013-2018 роки </t>
  </si>
  <si>
    <t xml:space="preserve"> - міська програма  запобігання та лікування  серцево-судинних та судинно-мозкових захворювань на 2015-2020 роки</t>
  </si>
  <si>
    <t>Програма і централізовані заходи профілактики ВІЛ-інфекції/СНІДу (Міська Соціальна програма  протидії ВІЛ- інфекції / СНІДу  на 2014-2019 р.р.)</t>
  </si>
  <si>
    <t>081007</t>
  </si>
  <si>
    <t>081008</t>
  </si>
  <si>
    <t>081009</t>
  </si>
  <si>
    <t>081010</t>
  </si>
  <si>
    <t>1110000</t>
  </si>
  <si>
    <t>091102</t>
  </si>
  <si>
    <t>7516310</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</si>
  <si>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</si>
  <si>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100602</t>
  </si>
  <si>
    <t>7516150</t>
  </si>
  <si>
    <t>Програми і централізовані заходи у галузі охорони здоров'я</t>
  </si>
  <si>
    <t>0318021</t>
  </si>
  <si>
    <t>0318020</t>
  </si>
  <si>
    <t xml:space="preserve"> - міська комплексна програма "Молоде покоління Южноукраїнська на 2012-2015 роки"</t>
  </si>
  <si>
    <t xml:space="preserve"> - міська програма щодо організації мобілізаційної роботи в місті Южноукраїнську на 2014-2015 роки</t>
  </si>
  <si>
    <t>Проведення виборів та референдумів</t>
  </si>
  <si>
    <t xml:space="preserve">Керівництво і управління у сфері молоді, спорту та культури у містах республіканського Автономного Республіки Крим та обласного значення (утримання управління молоді, спорту та культури Южноукраїнської міської ради) </t>
  </si>
  <si>
    <t>4016100</t>
  </si>
  <si>
    <t xml:space="preserve"> - по міській цільовій програмі цивільного захисту міста Южноукраїнська Миколаївської області на 2009 - 2013 роки -</t>
  </si>
  <si>
    <t>180404</t>
  </si>
  <si>
    <t>100101</t>
  </si>
  <si>
    <t>В тому числі видатки за рахунок субвенцій з державного бюджету</t>
  </si>
  <si>
    <t>090308</t>
  </si>
  <si>
    <t>090215</t>
  </si>
  <si>
    <t>061007</t>
  </si>
  <si>
    <t>10</t>
  </si>
  <si>
    <t>091101</t>
  </si>
  <si>
    <t>250203</t>
  </si>
  <si>
    <t>0316310</t>
  </si>
  <si>
    <t>1011010</t>
  </si>
  <si>
    <t>1011020</t>
  </si>
  <si>
    <t>Надання позашкільної освіти позашкільними закладами освіти, заходи із позашкільної роботи з дітьми</t>
  </si>
  <si>
    <t xml:space="preserve">Методичне забезпечення діяльності навчальних закладів та інші заходи в галузі освіти </t>
  </si>
  <si>
    <t xml:space="preserve">Централізоване ведення бухгалтерського обліку </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</si>
  <si>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</si>
  <si>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</si>
  <si>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1513011</t>
  </si>
  <si>
    <t>1513021</t>
  </si>
  <si>
    <t>1513012</t>
  </si>
  <si>
    <t xml:space="preserve"> -  міська програма розвитку культури, фізичної культури, спорту та туризму в м.Южноукраїнську на 2014-2018 роки </t>
  </si>
  <si>
    <t>1513013</t>
  </si>
  <si>
    <t>1513023</t>
  </si>
  <si>
    <t>1011802</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</si>
  <si>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</si>
  <si>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 xml:space="preserve"> - благоустрій  міст, сіл, селищ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</si>
  <si>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Фінансова підтримка об'єктів комунального господарства</t>
  </si>
  <si>
    <t>1513050</t>
  </si>
  <si>
    <t>1513015</t>
  </si>
  <si>
    <t>1513041</t>
  </si>
  <si>
    <t>1513042</t>
  </si>
  <si>
    <t>1513043</t>
  </si>
  <si>
    <t>1513044</t>
  </si>
  <si>
    <t>1513045</t>
  </si>
  <si>
    <t xml:space="preserve">Надання допомоги на дітей одиноким матерям  (за рахунок субвенції з державного бюджету)  </t>
  </si>
  <si>
    <t>1513046</t>
  </si>
  <si>
    <t>1513047</t>
  </si>
  <si>
    <t>1513048</t>
  </si>
  <si>
    <t>1513016</t>
  </si>
  <si>
    <t>1513026</t>
  </si>
  <si>
    <t>1513402</t>
  </si>
  <si>
    <t>7518010</t>
  </si>
  <si>
    <t>1513080</t>
  </si>
  <si>
    <t>1513201</t>
  </si>
  <si>
    <t>1513090</t>
  </si>
  <si>
    <t>1513104</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</si>
  <si>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 (міська комплексна програма "Турбота" на 2013 - 2017 роки)</t>
  </si>
  <si>
    <t>1513181</t>
  </si>
  <si>
    <t xml:space="preserve"> - капітальний ремонт житлового фонду за рахунок субвенції з з державного бюджету місцевим бюджетам на здійснення заходів щодо соціально-економічного розвитку окремих територій</t>
  </si>
  <si>
    <t xml:space="preserve">Інші видатки </t>
  </si>
  <si>
    <t xml:space="preserve">Інші правоохоронні заходи і заклади </t>
  </si>
  <si>
    <t>1513401</t>
  </si>
  <si>
    <t xml:space="preserve"> - благоустрій  міст, сіл, селищ за рахунок субвенції з державного бюджету місцевим бюджетам на здійснення заходів щодо соціально-економічного розвитку окремих територій</t>
  </si>
  <si>
    <t>1513190</t>
  </si>
  <si>
    <t>1513202</t>
  </si>
  <si>
    <t>1513049</t>
  </si>
  <si>
    <t>1513182</t>
  </si>
  <si>
    <t>1513183</t>
  </si>
  <si>
    <t>1513035</t>
  </si>
  <si>
    <t>1513037</t>
  </si>
  <si>
    <t>4016010</t>
  </si>
  <si>
    <t>4016021</t>
  </si>
  <si>
    <t>4016052</t>
  </si>
  <si>
    <t>4016060</t>
  </si>
  <si>
    <t>4016310</t>
  </si>
  <si>
    <t>4016330</t>
  </si>
  <si>
    <t>4016650</t>
  </si>
  <si>
    <t>4017420</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</si>
  <si>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</si>
  <si>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Інші культурно-освітні заклади та заходи (програма розвитку культури, фізичної культури, спорту та туризму в м.Южноукраїнську на 2014-2018 роки)</t>
  </si>
  <si>
    <t>Центри соціальних служб для сім’ї, дітей та молоді</t>
  </si>
  <si>
    <t>Видатки на запобігання та ліквідацію надзвичайних ситуацій та наслідків стихійного лиха (Міська програма "Цільова  програма  захисту  населення і територій від надзвичайних ситуацій техногенного та природного характеру на 2014-2017 роки")</t>
  </si>
  <si>
    <t xml:space="preserve">Заходи державної політики з питань молоді (міська комплексна програма "Молоде покоління Южноукраїнська на 2012-2015 роки") </t>
  </si>
  <si>
    <t>Найменування програми/підпрограми видатків та кредитування місцевих бюджетів</t>
  </si>
  <si>
    <t xml:space="preserve"> - міська програма розвитку футболу в м.Южноукраїнську на 2013-2016 роки</t>
  </si>
  <si>
    <t>Капітальний ремонт об'єктів житлового господарства</t>
  </si>
  <si>
    <t>Капітальний ремонт житлового фонду ,                                 в  тому числі:</t>
  </si>
  <si>
    <t xml:space="preserve"> - капітальний ремонт житлового фонду за рахунок субвенції з державного бюджету</t>
  </si>
  <si>
    <t xml:space="preserve"> - міська програма охорони тваринного світу та регулювання чисельності бродячих тварин в місті Южноукраїнську на 2012-2016 рр</t>
  </si>
  <si>
    <t xml:space="preserve">Інші культурно-освітні заклади та заходи </t>
  </si>
  <si>
    <t>Цільовий фонд Южноукраїнської міської ради для вирішення питань розвитку інфраструктури міста,                                                           в тому числі:</t>
  </si>
  <si>
    <t>2414060</t>
  </si>
  <si>
    <t>2414070</t>
  </si>
  <si>
    <t>Школи естетичного виховання дітей</t>
  </si>
  <si>
    <t>2414100</t>
  </si>
  <si>
    <t>2413140</t>
  </si>
  <si>
    <t>2415011</t>
  </si>
  <si>
    <t>2415012</t>
  </si>
  <si>
    <t>2415060</t>
  </si>
  <si>
    <t>6713140</t>
  </si>
  <si>
    <t>6717810</t>
  </si>
  <si>
    <t>1113131</t>
  </si>
  <si>
    <t>0300000</t>
  </si>
  <si>
    <t>0317214</t>
  </si>
  <si>
    <t>0317210</t>
  </si>
  <si>
    <t xml:space="preserve">Підтримка засобів масової інформації </t>
  </si>
  <si>
    <t xml:space="preserve"> - міська програма розвитку культури, фізичної культури, спорту та туризму в м.Южноукраїнську на 2014-2018 роки</t>
  </si>
  <si>
    <t>0318600</t>
  </si>
  <si>
    <t>0310000</t>
  </si>
  <si>
    <t>Разом:</t>
  </si>
  <si>
    <t>Разом :</t>
  </si>
  <si>
    <t>1000000</t>
  </si>
  <si>
    <t>1010000</t>
  </si>
  <si>
    <t>1500000</t>
  </si>
  <si>
    <t>1510000</t>
  </si>
  <si>
    <t>1513010</t>
  </si>
  <si>
    <t>Надання пільг та житлових субсидій населенню га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</si>
  <si>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</si>
  <si>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6718600</t>
  </si>
  <si>
    <t>6718601</t>
  </si>
  <si>
    <t>1513030</t>
  </si>
  <si>
    <t>1513040</t>
  </si>
  <si>
    <t>1513100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</si>
  <si>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</si>
  <si>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</si>
  <si>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 xml:space="preserve">Надання соціальних гарантій інвалідам, фізичним особам, які надають соціальні послуги громадянам похилого віку, інвалідам, дітям –інвалідам, хворим, які не здатні до самообслуговування і потребують сторонньої допомоги </t>
  </si>
  <si>
    <t>1513180</t>
  </si>
  <si>
    <t>1513200</t>
  </si>
  <si>
    <t>Соціальний захист ветеранів війни та праці</t>
  </si>
  <si>
    <t>1513400</t>
  </si>
  <si>
    <t>4000000</t>
  </si>
  <si>
    <t>4010000</t>
  </si>
  <si>
    <r>
      <t xml:space="preserve">Управління житлово-комунального господарства та будівництва Южноукраїнської міської ради </t>
    </r>
    <r>
      <rPr>
        <i/>
        <sz val="14"/>
        <rFont val="Times New Roman"/>
        <family val="1"/>
      </rPr>
      <t xml:space="preserve">(відповідальний виконавець) </t>
    </r>
  </si>
  <si>
    <r>
      <t xml:space="preserve">Управління житлово-комунального господарства та будівництва Южноукраїнської міської ради </t>
    </r>
    <r>
      <rPr>
        <i/>
        <sz val="14"/>
        <rFont val="Times New Roman"/>
        <family val="1"/>
      </rPr>
      <t>(головний розпорядник)</t>
    </r>
  </si>
  <si>
    <t>1513017</t>
  </si>
  <si>
    <t>090407</t>
  </si>
  <si>
    <t>4016020</t>
  </si>
  <si>
    <t>4016050</t>
  </si>
  <si>
    <t>7500000</t>
  </si>
  <si>
    <t>7510000</t>
  </si>
  <si>
    <t>2400000</t>
  </si>
  <si>
    <t>2410000</t>
  </si>
  <si>
    <t>2415010</t>
  </si>
  <si>
    <t>Проведення спортивної роботи в регіоні</t>
  </si>
  <si>
    <t>6700000</t>
  </si>
  <si>
    <t>6710000</t>
  </si>
  <si>
    <t>6717100</t>
  </si>
  <si>
    <t>200000</t>
  </si>
  <si>
    <t>201000</t>
  </si>
  <si>
    <r>
      <t xml:space="preserve">Служба у справах дітей Южноукраїнської міської ради </t>
    </r>
    <r>
      <rPr>
        <i/>
        <sz val="14"/>
        <rFont val="Times New Roman"/>
        <family val="1"/>
      </rPr>
      <t>(головний розпорядник)</t>
    </r>
  </si>
  <si>
    <r>
      <t xml:space="preserve">Служба у справах дітей Южноукраїнської міської ради </t>
    </r>
    <r>
      <rPr>
        <i/>
        <sz val="14"/>
        <rFont val="Times New Roman"/>
        <family val="1"/>
      </rPr>
      <t xml:space="preserve">(відповідальний виконавець) </t>
    </r>
  </si>
  <si>
    <t>1100000</t>
  </si>
  <si>
    <t>1113130</t>
  </si>
  <si>
    <t>Здійснення соціальної роботи з вразливими категоріями населення</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</si>
  <si>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</si>
  <si>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Здійснення централізованого господарського обслуговування</t>
  </si>
  <si>
    <t>240344</t>
  </si>
  <si>
    <t xml:space="preserve">Дошкільна освiта                                                                         </t>
  </si>
  <si>
    <t xml:space="preserve"> - міська комплексна програма "Молоде покоління м. Южноукраїнська" на 2012-2015 роки "</t>
  </si>
  <si>
    <t>Благоустрій  міст, сіл, селищ ,                                                           в тому числі по:</t>
  </si>
  <si>
    <t>Цільовий фонд Южноукраїнської міської ради для вирішення питань розвитку інфраструктури міста (поточний ремонт баскетбольного майданчику ЗОШ №1, придбання бітуму, поточний ремонт системи каналізації ДНЗ №6)</t>
  </si>
  <si>
    <t>Реалізація заходів щодо інвестиційного розвитку території,                                                                                                   в тому числі :</t>
  </si>
  <si>
    <t>Програма стабілізації та соціально-економічного розвитку територій ,                                                                                     в тому числі по:</t>
  </si>
  <si>
    <t>2419232</t>
  </si>
  <si>
    <t>Культура і мистецтво (утримання закладів культури)</t>
  </si>
  <si>
    <t>120400</t>
  </si>
  <si>
    <t>130106</t>
  </si>
  <si>
    <t>Фізична культура і спорт</t>
  </si>
  <si>
    <t>130000</t>
  </si>
  <si>
    <t xml:space="preserve">Видатки загального фонду </t>
  </si>
  <si>
    <t>із них:</t>
  </si>
  <si>
    <t xml:space="preserve"> - утримання виконавчого комітету Южноукраїнської міської ради)</t>
  </si>
  <si>
    <t>010116</t>
  </si>
  <si>
    <t>250404</t>
  </si>
  <si>
    <t>130107</t>
  </si>
  <si>
    <t>091204</t>
  </si>
  <si>
    <t>170102</t>
  </si>
  <si>
    <t>090405</t>
  </si>
  <si>
    <t>090401</t>
  </si>
  <si>
    <t>090413</t>
  </si>
  <si>
    <t>091209</t>
  </si>
  <si>
    <t>091207</t>
  </si>
  <si>
    <t>0318601</t>
  </si>
  <si>
    <t>6717101</t>
  </si>
  <si>
    <t>090412</t>
  </si>
  <si>
    <t>090416</t>
  </si>
  <si>
    <t>091300</t>
  </si>
  <si>
    <t>100102</t>
  </si>
  <si>
    <t>100203</t>
  </si>
  <si>
    <t>170703</t>
  </si>
  <si>
    <t>210110</t>
  </si>
  <si>
    <t>150101</t>
  </si>
  <si>
    <t>Всього видатки бюджету міста:</t>
  </si>
  <si>
    <t>250301</t>
  </si>
  <si>
    <t>тис.грн.</t>
  </si>
  <si>
    <t>Видатки спеціального фонду</t>
  </si>
  <si>
    <t>090201</t>
  </si>
  <si>
    <t>090202</t>
  </si>
  <si>
    <t>090204</t>
  </si>
  <si>
    <t>090302</t>
  </si>
  <si>
    <t>090303</t>
  </si>
  <si>
    <t>090304</t>
  </si>
  <si>
    <t>090305</t>
  </si>
  <si>
    <t>090306</t>
  </si>
  <si>
    <t>070101</t>
  </si>
  <si>
    <t>070201</t>
  </si>
  <si>
    <t>070401</t>
  </si>
  <si>
    <t>070802</t>
  </si>
  <si>
    <t>070804</t>
  </si>
  <si>
    <t>070805</t>
  </si>
  <si>
    <t>070806</t>
  </si>
  <si>
    <t>110201</t>
  </si>
  <si>
    <t>110205</t>
  </si>
  <si>
    <t>110502</t>
  </si>
  <si>
    <t>090207</t>
  </si>
  <si>
    <t>110202</t>
  </si>
  <si>
    <t>180109</t>
  </si>
  <si>
    <t>170302</t>
  </si>
  <si>
    <t>090417</t>
  </si>
  <si>
    <t>070808</t>
  </si>
  <si>
    <t>210105</t>
  </si>
  <si>
    <t>090205</t>
  </si>
  <si>
    <t>090208</t>
  </si>
  <si>
    <t>090307</t>
  </si>
  <si>
    <t>240601</t>
  </si>
  <si>
    <t>110000</t>
  </si>
  <si>
    <t>Культура і мистецтво (всього)</t>
  </si>
  <si>
    <t>Бібліотеки</t>
  </si>
  <si>
    <t>Музеї і виставки</t>
  </si>
  <si>
    <t>100202</t>
  </si>
  <si>
    <t>070807</t>
  </si>
  <si>
    <t>090212</t>
  </si>
  <si>
    <t>091103</t>
  </si>
  <si>
    <t>капітальні видатки за рахунок коштів, що передаються із загального фонду до бюджету розвитку (спеціального фонду)</t>
  </si>
  <si>
    <t>130115</t>
  </si>
  <si>
    <t>0317212</t>
  </si>
  <si>
    <t xml:space="preserve">Підтримка періодичних видань (газет та журналів)(міська програма підтримки газети Южноукраїнської міської ради "Контакт" на 2009 - 2014 роки - фінансова допомога на послуги друку, яка надавалась у 2012 році ) </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</si>
  <si>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</si>
  <si>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1011090</t>
  </si>
  <si>
    <t>1011220</t>
  </si>
  <si>
    <t>1011230</t>
  </si>
  <si>
    <t>1511060</t>
  </si>
  <si>
    <t>7518120</t>
  </si>
  <si>
    <t>2414200</t>
  </si>
  <si>
    <t>2414201</t>
  </si>
  <si>
    <t>2414202</t>
  </si>
  <si>
    <t>6717840</t>
  </si>
  <si>
    <t>1113132</t>
  </si>
  <si>
    <t xml:space="preserve">Реверсна дотація </t>
  </si>
  <si>
    <t>130102</t>
  </si>
  <si>
    <t>090406</t>
  </si>
  <si>
    <t>070303</t>
  </si>
  <si>
    <t>091205</t>
  </si>
  <si>
    <t>250344</t>
  </si>
  <si>
    <t>1513403</t>
  </si>
  <si>
    <t>Інші видатки на соціальний захист населення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м.Севастополя та під час участі в антитерористичній  операції (АТО) на сході України на 2015 рік (за рахунок субвенції з обласного бюджету)</t>
  </si>
  <si>
    <t>210106</t>
  </si>
  <si>
    <t xml:space="preserve">Цільовий фонд Южноукраїнської міської ради для вирішення питань розвитку  інфраструктури міста </t>
  </si>
  <si>
    <t>250380</t>
  </si>
  <si>
    <t>7518800</t>
  </si>
  <si>
    <t>Інші субвенції</t>
  </si>
  <si>
    <t>7518801</t>
  </si>
  <si>
    <t>6717820</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</si>
  <si>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(одержувач  КП ТВКГ)</t>
  </si>
  <si>
    <t xml:space="preserve"> - за рахунок субвенції з обласного бюджету за рахунок коштів  державного бюджету</t>
  </si>
  <si>
    <t>Заходи у сфері захисту населення і територій від надзвичайних ситуацій техногенного та природного характеру</t>
  </si>
  <si>
    <t xml:space="preserve"> - освітньої субвенції з державного бюджету</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</si>
  <si>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</si>
  <si>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</si>
  <si>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</si>
  <si>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0310180</t>
  </si>
  <si>
    <t>1010180</t>
  </si>
  <si>
    <t>Інші освітні програми</t>
  </si>
  <si>
    <t>1011221</t>
  </si>
  <si>
    <t>1510180</t>
  </si>
  <si>
    <t>2010180</t>
  </si>
  <si>
    <t>4010180</t>
  </si>
  <si>
    <t>4019180</t>
  </si>
  <si>
    <t>4019181</t>
  </si>
  <si>
    <t>7510180</t>
  </si>
  <si>
    <t>2410180</t>
  </si>
  <si>
    <t>2419180</t>
  </si>
  <si>
    <t>2419182</t>
  </si>
  <si>
    <t>6710180</t>
  </si>
  <si>
    <t>081006</t>
  </si>
  <si>
    <t>Реалізація заходів щодо інвестиційного розвитку території (міська програма капітального будівництва об’єктів житлово - комунального господарства та соціальної інфраструктури в м.Южноукраїнську на 2016-2020 роки)</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</si>
  <si>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</si>
  <si>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Утримання та розвиток інфраструктури  доріг - всього, в тому числі:</t>
  </si>
  <si>
    <t xml:space="preserve"> - міська програма розвитку  дорожнього руху та його безпеки в місті Южноукраїнську  на 2013-2017 роки</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</si>
  <si>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</si>
  <si>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Організація рятування на водах (Утримання рятувального поста)</t>
  </si>
  <si>
    <r>
      <t>Інші освітні програми (міська програма розвитку освіти в м.Южноукраїнську на 2016-2020</t>
    </r>
    <r>
      <rPr>
        <i/>
        <sz val="14"/>
        <color indexed="10"/>
        <rFont val="Times New Roman"/>
        <family val="1"/>
      </rPr>
      <t xml:space="preserve"> </t>
    </r>
    <r>
      <rPr>
        <i/>
        <sz val="14"/>
        <rFont val="Times New Roman"/>
        <family val="1"/>
      </rPr>
      <t>роки)</t>
    </r>
  </si>
  <si>
    <t>Проведення навчально - тренувальних зборів і змагань з олімпійських видів спорту - всього,                                                                                        в тому числі:</t>
  </si>
  <si>
    <t>070501</t>
  </si>
  <si>
    <t>080201</t>
  </si>
  <si>
    <t>Спеціалізована стаціонарна медична допомога населенню - всього, в тому числі:</t>
  </si>
  <si>
    <t>1011100</t>
  </si>
  <si>
    <t>Підготовка робітничих кадрів закладами професійно-технічної освіти</t>
  </si>
  <si>
    <t xml:space="preserve"> -  міська програма реформування і розвитку житлово-комунального господарства міста Южноукраїнська на 2016-2020 роки </t>
  </si>
  <si>
    <t>Охорона та раціональне використання природних ресурсів, в тому числі по:</t>
  </si>
  <si>
    <t>2013110</t>
  </si>
  <si>
    <t>090802</t>
  </si>
  <si>
    <t>Заклади і заходи з питань дітей та їх соціального захисту</t>
  </si>
  <si>
    <t>2013112</t>
  </si>
  <si>
    <t xml:space="preserve"> - медичної субвенції з державного бюджету</t>
  </si>
  <si>
    <t xml:space="preserve"> - залишку коштів медичної субвенції з державного бюджету станом на 01.01.2016</t>
  </si>
  <si>
    <t xml:space="preserve"> - коштів міського бюджету</t>
  </si>
  <si>
    <t>0318370</t>
  </si>
  <si>
    <t>090501</t>
  </si>
  <si>
    <t>Організація та проведення громадських робіт (Міська програма зайнятості  населення міста Южноукраїнська на період до 2017 року в частині оплачуваних громадських робіт)</t>
  </si>
  <si>
    <t xml:space="preserve"> - залишку коштів субвенції з обласного бюджету за рахунок коштів  освітньої субвенції з державного бюджету</t>
  </si>
  <si>
    <t xml:space="preserve"> - залишку коштів медичної субвенції з обласного бюджету за рахунок коштів медичної субвеції з державного бюджету станом на 01.01.2016</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</si>
  <si>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та середнього підприємництва в м.Южноукраїнську на 2015-2016 роки) </t>
  </si>
  <si>
    <t>Програми і заходи центрів соціальних служб для сім'ї, дітей та молоді (Міська комплексна програма  "Молоде покоління  м.Южноукраїнська" на 2016-2020 роки)</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</si>
  <si>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</si>
  <si>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</si>
  <si>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</si>
  <si>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</si>
  <si>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комплексна програма  профілактики злочинності та вдосконалення системи захисту конституційних прав і свобод громадян в місті Южноукраїнську на 2016 рік</t>
  </si>
  <si>
    <t xml:space="preserve"> - міська програма Репродуктивне здоров'я населення міста Южноукраїнськ на 2016-2020 р.р</t>
  </si>
  <si>
    <t>180409</t>
  </si>
  <si>
    <t>Впровадження засобів обліку витрат та регулювання споживання води та теплової енергії (міська програма   капітального будівництва об'єктів житлово-комунального господарства та соціальної інфраструктури м. Южноукраїнська на 2016-2020 рр.)</t>
  </si>
  <si>
    <t>1512030</t>
  </si>
  <si>
    <t>1512210</t>
  </si>
  <si>
    <t>1512211</t>
  </si>
  <si>
    <t>1512215</t>
  </si>
  <si>
    <t>1519180</t>
  </si>
  <si>
    <t>1519181</t>
  </si>
  <si>
    <t>1512212</t>
  </si>
  <si>
    <t>1512213</t>
  </si>
  <si>
    <t>1512214</t>
  </si>
  <si>
    <t>Забезпечення надійного та безперебійного функціонування житлово-експлуатаційного господарства - всього, в тому числі</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</si>
  <si>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</si>
  <si>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</si>
  <si>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</si>
  <si>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 xml:space="preserve"> - міська програма приватизації об"єктів, що належать до комунальної власності територіальної громади міста Южноукраїнська на 2015-2017 роки</t>
  </si>
  <si>
    <t>6010180</t>
  </si>
  <si>
    <t>Внески до статутного капіталу суб'єктів господарювання (міська програма управління  майном комунальної форми власності  міста Южноукраїнська на 2015-2019 роки в частині фінансової допомоги комунальним підприємствам, в тому числі внески в статутний фонд комунального підприємства "Служба комунальних лабораторій" для придбання обладнання )</t>
  </si>
  <si>
    <t xml:space="preserve"> - міська Цільова  програма  захисту  населення і територій від надзвичайних ситуацій техногенного та природного характеру на 2014-2017 роки</t>
  </si>
  <si>
    <t>Субвенція з місцевого бюджету державному бюджету на виконання програм соціально-економічного та культурного розвитку регіонів ,                                             в тому числі:</t>
  </si>
  <si>
    <t>6718370</t>
  </si>
  <si>
    <t>4017470</t>
  </si>
  <si>
    <t xml:space="preserve"> -  субвенції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</si>
  <si>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Надання фінансової підтримки громадським організаціям інвалідів і ветеранів, діяльність яких має соціальну спрямованість - всього, в тому числі:</t>
  </si>
  <si>
    <t>1513240</t>
  </si>
  <si>
    <t xml:space="preserve"> - субвенції за рахунок залишку коштів освітньої субвенції з державного бюджету місцевим бюджетам, що утворився на початок бюджетного періоду</t>
  </si>
  <si>
    <t>1013240</t>
  </si>
  <si>
    <t>Цільові фонди, утворені Верховною Радою Автономної Республіки Крим, органами місцевого самоврядування і місцевими органами виконавчої влади  - всього, в тому числі:</t>
  </si>
  <si>
    <t>1519182</t>
  </si>
  <si>
    <t>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боротьби з онкологічними захворюваннями в місті Южноукраїнську на пероід до 2016 року)</t>
  </si>
  <si>
    <t xml:space="preserve"> 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розвитку донорства крові  та її компонентів на 2012-2016 роки)</t>
  </si>
  <si>
    <t>4013240</t>
  </si>
  <si>
    <t>4011020</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</si>
  <si>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t>
  </si>
  <si>
    <t>7518420</t>
  </si>
  <si>
    <t>250366</t>
  </si>
  <si>
    <t>7518440</t>
  </si>
  <si>
    <t xml:space="preserve">Субвенція з державного бюджету місцевим бюджетам на здійснення фінансування заходів щодо соціально-економічного розвитку окремих територій </t>
  </si>
  <si>
    <t>Начальник фінансового управління Южноукраїнської міської ради</t>
  </si>
  <si>
    <t>Т.О.Гончарова</t>
  </si>
  <si>
    <t xml:space="preserve"> - за рахунок субвенції на здійснення заходів щодо соціально-економічного розвитку окремих територій</t>
  </si>
  <si>
    <t xml:space="preserve"> - стабілізаційна дотація</t>
  </si>
  <si>
    <t xml:space="preserve"> - міська програма підтримки об'єднань співвласників багатоквартирних будинків на 2016-2018 роки </t>
  </si>
  <si>
    <t xml:space="preserve"> - за рахунок субвенції на фінансування заходів соціально-економічної компенсації ризику населення, яке проживає на території  зони спостереження</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</si>
  <si>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2016 рік"</t>
  </si>
  <si>
    <t xml:space="preserve"> - кошти міського бюджету на співфінансування з обласним бюджетом на  проведення видатків з капітального ремонту інженерних мереж гуртожитку №8 за адресою: вул. Дружби Народів,1</t>
  </si>
  <si>
    <t>4011010</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</si>
  <si>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</si>
  <si>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 xml:space="preserve">Цільовий фонд Южноукраїнської міської ради для вирішення питань розвитку інфраструктури міста </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</si>
  <si>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2016 рік"</t>
  </si>
  <si>
    <t>0317450</t>
  </si>
  <si>
    <t>Сприяння розвиту малого та середнього підприємництва</t>
  </si>
  <si>
    <t xml:space="preserve"> - міська програма розвитку малого та середнього підприємництва в частині проведення міського конкурсу "Краще нововрічне оформлення об'єктів торгівлі та сфери побуту"</t>
  </si>
  <si>
    <t>0318602</t>
  </si>
  <si>
    <t xml:space="preserve"> - субвенція з обласного бюджету за рахунок коштів освітньої субвенції з державного бюджету</t>
  </si>
  <si>
    <t xml:space="preserve"> - кошти міського бюджету</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</si>
  <si>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</si>
  <si>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</si>
  <si>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 xml:space="preserve"> - субвенція з обласного бюджету</t>
  </si>
  <si>
    <r>
      <t xml:space="preserve">Виконавчий комітет Южноукраїнської міської ради </t>
    </r>
    <r>
      <rPr>
        <i/>
        <sz val="14"/>
        <rFont val="Times New Roman"/>
        <family val="1"/>
      </rPr>
      <t xml:space="preserve">(відповідальний виконавець) </t>
    </r>
  </si>
  <si>
    <r>
      <t xml:space="preserve">Виконавчий комітет Южноукраїнської міської ради </t>
    </r>
    <r>
      <rPr>
        <i/>
        <sz val="14"/>
        <rFont val="Times New Roman"/>
        <family val="1"/>
      </rPr>
      <t>(головний розпорядник)</t>
    </r>
  </si>
  <si>
    <r>
      <t xml:space="preserve">Управління освіти Южноукраїнської міської ради </t>
    </r>
    <r>
      <rPr>
        <i/>
        <sz val="14"/>
        <rFont val="Times New Roman"/>
        <family val="1"/>
      </rPr>
      <t xml:space="preserve">(відповідальний виконавець) </t>
    </r>
  </si>
  <si>
    <r>
      <t>Управління освіти Южноукраїнської міської ради</t>
    </r>
    <r>
      <rPr>
        <i/>
        <sz val="14"/>
        <rFont val="Times New Roman"/>
        <family val="1"/>
      </rPr>
      <t xml:space="preserve"> (головний розпорядник)</t>
    </r>
  </si>
  <si>
    <r>
      <t>Южноукраїнський міський центр соціальних служб для сім'ї, дітей та молоді</t>
    </r>
    <r>
      <rPr>
        <i/>
        <sz val="14"/>
        <rFont val="Times New Roman"/>
        <family val="1"/>
      </rPr>
      <t xml:space="preserve"> (відповідальний виконавець) </t>
    </r>
  </si>
  <si>
    <r>
      <t xml:space="preserve">Южноукраїнський міський центр соціальних служб для сім'ї, дітей та молоді </t>
    </r>
    <r>
      <rPr>
        <i/>
        <sz val="14"/>
        <rFont val="Times New Roman"/>
        <family val="1"/>
      </rPr>
      <t>(головний розпорядник)</t>
    </r>
  </si>
  <si>
    <r>
      <t>Управління  соціального захисту населення, охорони здоров'я та праці Южноукраїнської міської ради</t>
    </r>
    <r>
      <rPr>
        <i/>
        <sz val="14"/>
        <rFont val="Times New Roman"/>
        <family val="1"/>
      </rPr>
      <t xml:space="preserve"> (відповідальний виконавець) </t>
    </r>
  </si>
  <si>
    <r>
      <t xml:space="preserve">Управління  соціального захисту населення, охорони здоров'я та праці  Южноукраїнської міської ради </t>
    </r>
    <r>
      <rPr>
        <i/>
        <sz val="14"/>
        <rFont val="Times New Roman"/>
        <family val="1"/>
      </rPr>
      <t>(головний розпорядник)</t>
    </r>
  </si>
  <si>
    <r>
      <t xml:space="preserve">Фінансове  управління Южноукраїнської міської ради </t>
    </r>
    <r>
      <rPr>
        <i/>
        <sz val="14"/>
        <rFont val="Times New Roman"/>
        <family val="1"/>
      </rPr>
      <t>(головний розпорядник)</t>
    </r>
  </si>
  <si>
    <r>
      <rPr>
        <b/>
        <sz val="14"/>
        <rFont val="Times New Roman"/>
        <family val="1"/>
      </rPr>
      <t>Фінансове управління Южноукраїнської міської ради</t>
    </r>
    <r>
      <rPr>
        <i/>
        <sz val="14"/>
        <rFont val="Times New Roman"/>
        <family val="1"/>
      </rPr>
      <t xml:space="preserve"> (відповідальний виконавець) </t>
    </r>
  </si>
  <si>
    <r>
      <t xml:space="preserve">Управління молоді, спорту та культури Южноукраїнської міської ради </t>
    </r>
    <r>
      <rPr>
        <i/>
        <sz val="14"/>
        <rFont val="Times New Roman"/>
        <family val="1"/>
      </rPr>
      <t xml:space="preserve">(відповідальний виконавець) </t>
    </r>
  </si>
  <si>
    <r>
      <t>Управління молоді, спорту та культури Южноукраїнської міської ради</t>
    </r>
    <r>
      <rPr>
        <i/>
        <sz val="14"/>
        <rFont val="Times New Roman"/>
        <family val="1"/>
      </rPr>
      <t xml:space="preserve"> (головний розпорядник)</t>
    </r>
  </si>
  <si>
    <r>
      <t xml:space="preserve">Управління екології, охорони навколишнього середовища та земельних відносин Южноукраїнської міської ради </t>
    </r>
    <r>
      <rPr>
        <i/>
        <sz val="14"/>
        <rFont val="Times New Roman"/>
        <family val="1"/>
      </rPr>
      <t xml:space="preserve">(відповідальний виконавець)   </t>
    </r>
  </si>
  <si>
    <r>
      <t xml:space="preserve">Управління екології, охорони навколишнього середовища та земельних відносин Южноукраїнської міської ради </t>
    </r>
    <r>
      <rPr>
        <i/>
        <sz val="14"/>
        <rFont val="Times New Roman"/>
        <family val="1"/>
      </rPr>
      <t>(головний розпорядник)</t>
    </r>
  </si>
  <si>
    <t xml:space="preserve"> - субвенція з обласного бюджету за рахунок коштів медичної субвенції з державного бюджету місцевим бюджетам)</t>
  </si>
  <si>
    <t xml:space="preserve">Дошкільна освiта, в тому числі                                                                      </t>
  </si>
  <si>
    <t>Код ТПКВКМБ /
ТКВКБМС</t>
  </si>
  <si>
    <t>Код ФКВКБ</t>
  </si>
  <si>
    <t xml:space="preserve"> - міська програма інформаційної підтримки розвитку міста та діяльності органів місцевого самоврядування на 2017 -2018 роки)</t>
  </si>
  <si>
    <t xml:space="preserve"> - міська програма "Наше місто"на 2015-2019 роки)</t>
  </si>
  <si>
    <t xml:space="preserve"> - міська програма щодо організації мобілізаційної роботи в м.Южноукраїнську на 2014-2017 роки)</t>
  </si>
  <si>
    <t xml:space="preserve"> - міська програма  розвитку донорства крові  та її компонентів на 2017-2021 роки</t>
  </si>
  <si>
    <t>Централізовані заходи з лікування онкологічних хворих (Міська програма боротьби з онкологічними захворюваннями в м.Южноукраїнську на період до 2017-2020 року)</t>
  </si>
  <si>
    <t>Зааходи державної політики з питань дітей та їх соціального захисту (міська Програма захисту прав дітей міста Южноукраїнська "Дитинство"на 2013-2017 рік)</t>
  </si>
  <si>
    <t>110204</t>
  </si>
  <si>
    <t>Палаци і будинки культури, клуби та інші заклади клубного типу</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</si>
  <si>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 (міська програма інформаційної підтримки розвитку міста та діяльності органів місцевого самоврядування на 2017-2018 роки)</t>
  </si>
  <si>
    <t>0180</t>
  </si>
  <si>
    <t>0111</t>
  </si>
  <si>
    <t>7210</t>
  </si>
  <si>
    <t>7214</t>
  </si>
  <si>
    <t>0830</t>
  </si>
  <si>
    <t>6310</t>
  </si>
  <si>
    <t>0490</t>
  </si>
  <si>
    <t>7420</t>
  </si>
  <si>
    <t>7450</t>
  </si>
  <si>
    <t>0411</t>
  </si>
  <si>
    <t>7212</t>
  </si>
  <si>
    <t>0821</t>
  </si>
  <si>
    <t>8020</t>
  </si>
  <si>
    <t>0160</t>
  </si>
  <si>
    <t>Проведення місцевих виборів (субвенція з обласного бюджету)</t>
  </si>
  <si>
    <t>8370</t>
  </si>
  <si>
    <t>8600</t>
  </si>
  <si>
    <t>8601</t>
  </si>
  <si>
    <t>8602</t>
  </si>
  <si>
    <t>0318510</t>
  </si>
  <si>
    <t>8510</t>
  </si>
  <si>
    <t>1010</t>
  </si>
  <si>
    <t>0910</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</si>
  <si>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 всього,                                     в тому числі за рахунок:                                               </t>
  </si>
  <si>
    <t>1020</t>
  </si>
  <si>
    <t>0921</t>
  </si>
  <si>
    <t>1090</t>
  </si>
  <si>
    <t>0960</t>
  </si>
  <si>
    <t>1170</t>
  </si>
  <si>
    <t>0990</t>
  </si>
  <si>
    <t>1190</t>
  </si>
  <si>
    <t>1200</t>
  </si>
  <si>
    <t>1210</t>
  </si>
  <si>
    <t>1220</t>
  </si>
  <si>
    <t>1221</t>
  </si>
  <si>
    <t>1230</t>
  </si>
  <si>
    <t>1019180</t>
  </si>
  <si>
    <t>9180</t>
  </si>
  <si>
    <t>0133</t>
  </si>
  <si>
    <t>3240</t>
  </si>
  <si>
    <t>1070</t>
  </si>
  <si>
    <t>3130</t>
  </si>
  <si>
    <t>3131</t>
  </si>
  <si>
    <t>1040</t>
  </si>
  <si>
    <t>3132</t>
  </si>
  <si>
    <t>1060</t>
  </si>
  <si>
    <t>2030</t>
  </si>
  <si>
    <t>0732</t>
  </si>
  <si>
    <t>2220</t>
  </si>
  <si>
    <t>0763</t>
  </si>
  <si>
    <t>1512221</t>
  </si>
  <si>
    <t>1512222</t>
  </si>
  <si>
    <t>1512223</t>
  </si>
  <si>
    <t>1512224</t>
  </si>
  <si>
    <t>2221</t>
  </si>
  <si>
    <t>2222</t>
  </si>
  <si>
    <t>2223</t>
  </si>
  <si>
    <t>2224</t>
  </si>
  <si>
    <t>2210</t>
  </si>
  <si>
    <t>2211</t>
  </si>
  <si>
    <t>2212</t>
  </si>
  <si>
    <t>2213</t>
  </si>
  <si>
    <t>2214</t>
  </si>
  <si>
    <t>2215</t>
  </si>
  <si>
    <t>3010</t>
  </si>
  <si>
    <t>3012</t>
  </si>
  <si>
    <t>1030</t>
  </si>
  <si>
    <t>3013</t>
  </si>
  <si>
    <t>3016</t>
  </si>
  <si>
    <t>3015</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</si>
  <si>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(субвенція з державного бюджету) </t>
  </si>
  <si>
    <t xml:space="preserve">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(субвенція з державного бюджету)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</si>
  <si>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(субвенція з державного бюджету) </t>
  </si>
  <si>
    <t xml:space="preserve">Надання пільг багатодітним сім’ям на житлово-комунальні послуги  (субвенція з державного бюджету) </t>
  </si>
  <si>
    <t xml:space="preserve">Надання субсидій населенню для відшкодування витрат на оплату житлово-комунальних послуг (субвенція з державного бюджету) </t>
  </si>
  <si>
    <t xml:space="preserve">Компенсація населенню додаткових витрат на оплату послуг газопостачання, центрального опалення та централізованого постачання гарячої води (субвенція з державного бюджету) </t>
  </si>
  <si>
    <t xml:space="preserve">Надання пільг та субсидій населенню на придбання твердого та рідкого пічного побутового палива і скрапленого газу (субвенція з державного бюджету)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</si>
  <si>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(субвенція з державного бюджету) </t>
  </si>
  <si>
    <t>3017</t>
  </si>
  <si>
    <t>3021</t>
  </si>
  <si>
    <t>1513022</t>
  </si>
  <si>
    <t>3022</t>
  </si>
  <si>
    <t>3023</t>
  </si>
  <si>
    <t xml:space="preserve">Надання субсидій населенню для відшкодування витрат на придбання твердого та рідкого пічного побутового палива і скрапленого газу  (субвенція з державного бюджету) </t>
  </si>
  <si>
    <t>3026</t>
  </si>
  <si>
    <t>3030</t>
  </si>
  <si>
    <t xml:space="preserve">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(субвенція з державного бюджету)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</si>
  <si>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(субвенція)</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</si>
  <si>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</si>
  <si>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</si>
  <si>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 xml:space="preserve"> - міська комплексна програма "Турбота" на 2013 - 2017 роки</t>
  </si>
  <si>
    <t>3037</t>
  </si>
  <si>
    <t>3040</t>
  </si>
  <si>
    <t xml:space="preserve">Надання допомоги у зв’язку з вагітністю і пологами  (субвенція з державного бюджету) </t>
  </si>
  <si>
    <t xml:space="preserve">Надання допомоги сім'ям з дітьми, малозабезпеченим сім'ям, інвалідам з дитинства,  дітям - інвалідам та тимчасової державної допомоги дітям (субвенція з державного бюджету) </t>
  </si>
  <si>
    <t xml:space="preserve">Надання допомоги при народженні дитини (субвенція з державного бюджету) </t>
  </si>
  <si>
    <t>3041</t>
  </si>
  <si>
    <t>3042</t>
  </si>
  <si>
    <t>3043</t>
  </si>
  <si>
    <t>3044</t>
  </si>
  <si>
    <t>3045</t>
  </si>
  <si>
    <t>3046</t>
  </si>
  <si>
    <t>3047</t>
  </si>
  <si>
    <t>3048</t>
  </si>
  <si>
    <t>3049</t>
  </si>
  <si>
    <t>3050</t>
  </si>
  <si>
    <t xml:space="preserve">Надання допомоги на дітей, над якими встановлено опіку чи піклування (субвенція з державного бюджету) </t>
  </si>
  <si>
    <t xml:space="preserve">Надання тимчасової державної допомоги дітям  (субвенція з державного бюджету) </t>
  </si>
  <si>
    <t xml:space="preserve">Надання допомоги при усиновленні дитини (субвенція з державного бюджету) </t>
  </si>
  <si>
    <t xml:space="preserve">Надання державної соціальної допомоги малозабезпеченим сім’ям (субвенція з державного бюджету) </t>
  </si>
  <si>
    <t xml:space="preserve">Надання державної соціальної допомоги інвалідам з дитинства та дітям-інвалідам  (субвенція з державного бюджету) </t>
  </si>
  <si>
    <t>3080</t>
  </si>
  <si>
    <t xml:space="preserve">Надання допомоги на догляд за інвалідом І чи ІІ групи внаслідок психічного розладу (субвенція з державного бюджету) </t>
  </si>
  <si>
    <t>3090</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</si>
  <si>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</si>
  <si>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(утримання комунального закладу "Територіальний центр соціального обслуговування (надання соціальних послуг) м.Южноукраїнськ)</t>
  </si>
  <si>
    <t>3181</t>
  </si>
  <si>
    <t>3180</t>
  </si>
  <si>
    <t>3182</t>
  </si>
  <si>
    <t>Компенсаційні виплати інвалідам на бензин, ремонт, технічне обслуговування  автомобілів, мотоколясок і на транспортне обслуговування  (субвенція з обласного бюджету)</t>
  </si>
  <si>
    <t>3183</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</si>
  <si>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</si>
  <si>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 всього, в тому числі:</t>
  </si>
  <si>
    <t xml:space="preserve"> - міська комплексна програма "Турбота" на 2013 - 2017 роки </t>
  </si>
  <si>
    <t>3200</t>
  </si>
  <si>
    <t>3201</t>
  </si>
  <si>
    <t>3202</t>
  </si>
  <si>
    <t>Інші видатки  на соціальний захист ветеранів війни та праці - всього, в тому числі:</t>
  </si>
  <si>
    <t>3400</t>
  </si>
  <si>
    <t>3401</t>
  </si>
  <si>
    <t>3402</t>
  </si>
  <si>
    <t>1050</t>
  </si>
  <si>
    <t>3110</t>
  </si>
  <si>
    <t>3112</t>
  </si>
  <si>
    <t>6010</t>
  </si>
  <si>
    <t>0610</t>
  </si>
  <si>
    <t>6020</t>
  </si>
  <si>
    <t>6021</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</si>
  <si>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</si>
  <si>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6050</t>
  </si>
  <si>
    <t>0620</t>
  </si>
  <si>
    <t xml:space="preserve"> - міська програма енергозбереження в сфері житлово - комунального господарства м.Южноукраїнська   на 2016-2020 роки</t>
  </si>
  <si>
    <t>6052</t>
  </si>
  <si>
    <t>6060</t>
  </si>
  <si>
    <t>6100</t>
  </si>
  <si>
    <t>6650</t>
  </si>
  <si>
    <t>0456</t>
  </si>
  <si>
    <t>8010</t>
  </si>
  <si>
    <t>8120</t>
  </si>
  <si>
    <t>4060</t>
  </si>
  <si>
    <t>0824</t>
  </si>
  <si>
    <t>4070</t>
  </si>
  <si>
    <t>2414090</t>
  </si>
  <si>
    <t>4090</t>
  </si>
  <si>
    <t>0828</t>
  </si>
  <si>
    <t>4100</t>
  </si>
  <si>
    <t>4200</t>
  </si>
  <si>
    <t>0829</t>
  </si>
  <si>
    <t>4201</t>
  </si>
  <si>
    <t>4202</t>
  </si>
  <si>
    <t>3140</t>
  </si>
  <si>
    <t>5000</t>
  </si>
  <si>
    <t>5010</t>
  </si>
  <si>
    <t>5011</t>
  </si>
  <si>
    <t>0810</t>
  </si>
  <si>
    <t>5012</t>
  </si>
  <si>
    <t>5060</t>
  </si>
  <si>
    <t xml:space="preserve"> Утримання та навчально-тренувальна робота комунальних дитячо-юнацьких спортивних шкіл</t>
  </si>
  <si>
    <t>9110</t>
  </si>
  <si>
    <t>0511</t>
  </si>
  <si>
    <t>6017420</t>
  </si>
  <si>
    <t>6019110</t>
  </si>
  <si>
    <t>7100</t>
  </si>
  <si>
    <t>0380</t>
  </si>
  <si>
    <t>7101</t>
  </si>
  <si>
    <t>7840</t>
  </si>
  <si>
    <t>0320</t>
  </si>
  <si>
    <t>7810</t>
  </si>
  <si>
    <t>7820</t>
  </si>
  <si>
    <t>0220</t>
  </si>
  <si>
    <t>6719180</t>
  </si>
  <si>
    <t>Реалізація заходів щодо інвестиційного розвитку території (кошти міського бюджету розвитку на фінансування об'єктів за напрямами та заходами, що будуть визначені рішеннями міської ради при внесенні змін до бюджету міста Южноукраїнська на 2017 рік )</t>
  </si>
  <si>
    <t>7518600</t>
  </si>
  <si>
    <t>Керівництво і управління у відповідній сфері  у містах республіканського Автономного Республіки Крим та обласного значення,                                                                                  в тому числі:</t>
  </si>
  <si>
    <t>Керівництво і управління увідповідній сфері освіти у містах республіканського Автономного Республіки Крим та обласного значення  (утримання управління освіти Южноукраїнської міської ради)</t>
  </si>
  <si>
    <t>Керівництво і управління у відповідній сфері соціального захисту населення у містах республіканського Автономного Республіки Крим та обласного значення (утримання управління праці та соціального захисту населення Южноукраїнської міської ради)</t>
  </si>
  <si>
    <t>Керівництво і управління у відповідній сфері соціального захисту у містах республіканського Автономного Республіки Крим та обласного значення(утримання служби у справах дітей Южноукраїнської міської ради)</t>
  </si>
  <si>
    <t>Керівництво і управління у відповідній сфері житлово-комунального господарства у містах республіканського Автономного Республіки Крим та обласного значення  (утримання управління житлово-комунального господарства та будівництва Южноукраїнської міської ради)</t>
  </si>
  <si>
    <t>Керівництво і управління у відповідній сфері надзвичайних ситуацій, мобілізаційної роботи та взаємодії з правоохоронними органами у містах республіканського Автономного Республіки Крим та обласного значення (утримання Управління екології, охорони навколишнього середовища та земельних відносин Южноукраїнської міської ради)</t>
  </si>
  <si>
    <t>Керівництво і управління у відповідній сфері фінансів у містах республіканського Автономного Республіки Крим та обласного значення (утримання фінансового управління Южноукраїнської міської ради)</t>
  </si>
  <si>
    <t>Забезпечення централізованих заходів з лікування хворих на цукровий та нецукровий діабет  (Міська Цільова програма "Цукровий діабет" на 2017-2020 р.р.)</t>
  </si>
  <si>
    <t xml:space="preserve"> - міська соціальна програма Підтримки учасиків АТО та членів їх сімей на 2016-2020 року</t>
  </si>
  <si>
    <t xml:space="preserve"> - міська соціальна програма підтримки учаснииків АТО та членів їх сімей - "Воїни та ветерани антитерористичної операції" </t>
  </si>
  <si>
    <t xml:space="preserve"> - міська соціальна програма підтримки учасників АТО та членів їх сімей на 2016-2020 року</t>
  </si>
  <si>
    <t>Забезпечення функціонування водопровідно-каналізаційного господарства,                                                              в тому числі по:</t>
  </si>
  <si>
    <t>4016022</t>
  </si>
  <si>
    <t>100106</t>
  </si>
  <si>
    <t>Капітальний ремонт  житлового фонду об'єднань співвласників багатоквартирних будинків ( міська програма підтримки об'єднань співвласників багатоквартирних будинків на 2016-2018 роки )</t>
  </si>
  <si>
    <t>7310</t>
  </si>
  <si>
    <t>6017310</t>
  </si>
  <si>
    <t>160101</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</si>
  <si>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типу(у т.ч. сімейного типу, прийомних сім*ях),  в сім*ях патронатного вихователя (за рахунок субвенції з державного бюджету) </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</si>
  <si>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t>
  </si>
  <si>
    <t>2413143</t>
  </si>
  <si>
    <t>3143</t>
  </si>
  <si>
    <t>2415061</t>
  </si>
  <si>
    <t>5061</t>
  </si>
  <si>
    <t>Інші заходи з розвитку фізичної культури та спорту</t>
  </si>
  <si>
    <t>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(програма розвитку культури, фізичної культури, спорту та туризму в м.Южноукраїнську на 2014-2018 роки )</t>
  </si>
  <si>
    <t xml:space="preserve">Реалізація державної політики у молодіжній сфері </t>
  </si>
  <si>
    <r>
      <t xml:space="preserve">Управління з питань надзвичайних ситуацій та взаємодії з правоохоронними органами Южноукраїнської міської ради </t>
    </r>
    <r>
      <rPr>
        <i/>
        <sz val="14"/>
        <rFont val="Times New Roman"/>
        <family val="1"/>
      </rPr>
      <t xml:space="preserve"> (головний розпорядник)</t>
    </r>
  </si>
  <si>
    <r>
      <t xml:space="preserve">Управління з питань надзвичайних ситуацій та взаємодії з правоохоронними органами Южноукраїнської міської ради </t>
    </r>
    <r>
      <rPr>
        <i/>
        <sz val="14"/>
        <rFont val="Times New Roman"/>
        <family val="1"/>
      </rPr>
      <t xml:space="preserve">(відповідальний виконавець) </t>
    </r>
  </si>
  <si>
    <t>Керівництво і управління у відповідній сфері надзвичайних ситуацій, мобілізаційної роботи та взаємодії з правоохоронними органами у містах республіканського Автономного Республіки Крим та обласного значення (утримання управління з питань надзвичайних ситуацій та взаємодії з правоохоронними органами Южноукраїнської міської ради)</t>
  </si>
  <si>
    <t>Інші заходи та заклади  молодіжної політики(міська комплексна програма "Молоде покоління міста Южноукраїнська" на 2016-2020 роки )</t>
  </si>
  <si>
    <t>091105</t>
  </si>
  <si>
    <t>Проведення заходів із землеустрою (міська програма "Розвиток земельних відносин на 2017-2021 роки" )</t>
  </si>
  <si>
    <t>Програма стабілізації та соціально-економічного розвитку територій  (міська програма "Розвиток земельних відносин на 2017-2021 роки" )</t>
  </si>
  <si>
    <t xml:space="preserve"> - міська програма  "Фонд міської ради на виконання депутатських повноважень" на 2017 рік </t>
  </si>
  <si>
    <t xml:space="preserve"> - міська комплексна програма "Турбота" на 2013 - 2017 роки - "Рада організації ветеранів війни, праці та військової служби";  "Спілка ветеранів Афганістану"; Товариство інвалідів;  Спілка "Союз-Чорнобиль"</t>
  </si>
  <si>
    <t xml:space="preserve">Видатки на поховання учасників бойових дій  та інвалідів війни (субвенція з обласного бюджету) </t>
  </si>
  <si>
    <t xml:space="preserve">Пільгове медичне обслуговування осіб, які постраждали внаслідок Чорнобильської катастрофи  (субвенція з обласного бюджету) </t>
  </si>
  <si>
    <t>2415030</t>
  </si>
  <si>
    <t>5030</t>
  </si>
  <si>
    <t>Розвиток дитячо-юнацького та резервного спорту</t>
  </si>
  <si>
    <t>2415031</t>
  </si>
  <si>
    <t>5031</t>
  </si>
  <si>
    <t xml:space="preserve">Надання допомоги на догляд за дитиною віком до трьох років (субвенція з державного бюджету) </t>
  </si>
  <si>
    <t>7518601</t>
  </si>
  <si>
    <t>3011</t>
  </si>
  <si>
    <t>Встановлення телефонів інвалідам І і ІІ груп (субвенція з обласного бюджету)</t>
  </si>
  <si>
    <t>Компенсаційні виплати за пільговий проїзд окремим категоріям громадян на залізничному транспорті</t>
  </si>
  <si>
    <t>3100</t>
  </si>
  <si>
    <t>3020</t>
  </si>
  <si>
    <t>0740</t>
  </si>
  <si>
    <t>1513033</t>
  </si>
  <si>
    <t>3033</t>
  </si>
  <si>
    <t>Інші видатки на соціальний захист населення , в тому числі:</t>
  </si>
  <si>
    <t xml:space="preserve"> -  за рахунок субвенції з обласного бюджет</t>
  </si>
  <si>
    <t>0421</t>
  </si>
  <si>
    <t>Благоустрій  міст, сіл, селищ (Програма охорони довкілля та раціонального природокористування міста Южноукраїнська на 2016-2020 роки)</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</si>
  <si>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</si>
  <si>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1516320</t>
  </si>
  <si>
    <t>6320</t>
  </si>
  <si>
    <t>1516324</t>
  </si>
  <si>
    <t>6324</t>
  </si>
  <si>
    <t>Надання допомоги у вирішенні житлових питань</t>
  </si>
  <si>
    <t>4016051</t>
  </si>
  <si>
    <t>6051</t>
  </si>
  <si>
    <t>Забезпечення функціонування теплових мереж (міській програмі   капітального будівництва об'єктів житлово-комунального господарства та соціальної інфраструктури м. Южноукраїнська на 2016-2020 рр.)</t>
  </si>
  <si>
    <t>9181</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</si>
  <si>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</si>
  <si>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</si>
  <si>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</si>
  <si>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</si>
  <si>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</si>
  <si>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</si>
  <si>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</si>
  <si>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6016060</t>
  </si>
  <si>
    <t>Будівництво на придбання житла для окремих категорій населення (міська соціальна програма підтримки учасників АТО та членів їх сімей на 2016-2020 року в частині співфінансування з обласним бюджетом для придбання житла для сімей учасників бойових дій, які безпосередньо приймали участь в АТО)</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</si>
  <si>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</si>
  <si>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Інші видатки</t>
  </si>
  <si>
    <t>6330</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</si>
  <si>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</si>
  <si>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2415000</t>
  </si>
  <si>
    <t>Програма і централізовані заходи з імунопрофілактики (Міська програма імунопрофілактики та захисту населення від інфекційних хвороб на 2016-2020 роки)</t>
  </si>
  <si>
    <t>Програма і централізовані заходи боротьби з туберкульозом (Міська Соціальна програма протидії  захворюванню на туберкульоз на 2014 - 2017 роки)</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</si>
  <si>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 всього, в тому числі:</t>
  </si>
  <si>
    <t>1513031</t>
  </si>
  <si>
    <t>3031</t>
  </si>
  <si>
    <t>1513034</t>
  </si>
  <si>
    <t>3034</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</si>
  <si>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всього, в тому числі:</t>
  </si>
  <si>
    <t>Надання пільг окремим категоріям громадян з послуг зв’язку- всього, в тому числі:</t>
  </si>
  <si>
    <t>Компенсаційні виплати на пільговий проїзд автомобільним транспортом окремим категоріям громадян - всього, в тому числі:</t>
  </si>
  <si>
    <t>3403</t>
  </si>
  <si>
    <t xml:space="preserve"> -  міська програма  "Фонд міської ради на виконання депутатських повноважень" на 2017 рік </t>
  </si>
  <si>
    <t>4017810</t>
  </si>
  <si>
    <t xml:space="preserve"> - міська програма "Цільова  програма  захисту  населення і територій від надзвичайних ситуацій техногенного та природного характеру на 2014-2017 роки"</t>
  </si>
  <si>
    <t>Видатки на запобігання та ліквідацію надзвичайних ситуацій та наслідків стихійного лиха - всього, в тому числі:</t>
  </si>
  <si>
    <t xml:space="preserve">Затверджено на рік з урахуванням змін </t>
  </si>
  <si>
    <t>Виконано за звітний період</t>
  </si>
  <si>
    <t>% виконання</t>
  </si>
  <si>
    <t xml:space="preserve">Разом </t>
  </si>
  <si>
    <t>Додаток №2</t>
  </si>
  <si>
    <t xml:space="preserve">В тому числі видатки за рахунок субвенцій з державного та обласного бюджетів,                                                                                                </t>
  </si>
  <si>
    <t>Разом</t>
  </si>
  <si>
    <t>в т.ч.бюджет розвитку</t>
  </si>
  <si>
    <t>6022</t>
  </si>
  <si>
    <t>Відхилення                (+,-)</t>
  </si>
  <si>
    <t xml:space="preserve">                           </t>
  </si>
  <si>
    <t xml:space="preserve">до рішення Южноукраїнської </t>
  </si>
  <si>
    <t>Виконання бюджету міста Южноукраїнська за видатками за І квартал 2017 року</t>
  </si>
  <si>
    <t>міської ради від_25.05.__2017_№_701____</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</si>
</sst>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s>
  <fonts count="73">
    <font>
      <sz val="10"/>
      <name val="Arial Cyr"/>
      <family val="0"/>
    </font>
    <font>
      <u val="single"/>
      <sz val="10"/>
      <color indexed="12"/>
      <name val="Arial Cyr"/>
      <family val="0"/>
    </font>
    <font>
      <u val="single"/>
      <sz val="10"/>
      <color indexed="36"/>
      <name val="Arial Cyr"/>
      <family val="0"/>
    </font>
    <font>
      <sz val="14"/>
      <name val="Times New Roman"/>
      <family val="1"/>
    </font>
    <font>
      <sz val="16"/>
      <name val="Times New Roman"/>
      <family val="1"/>
    </font>
    <font>
      <sz val="20"/>
      <name val="Times New Roman"/>
      <family val="1"/>
    </font>
    <font>
      <sz val="10"/>
      <name val="Times New Roman"/>
      <family val="1"/>
    </font>
    <font>
      <sz val="12"/>
      <name val="Times New Roman"/>
      <family val="1"/>
    </font>
    <font>
      <sz val="14"/>
      <color indexed="8"/>
      <name val="Times New Roman"/>
      <family val="1"/>
    </font>
    <font>
      <i/>
      <sz val="12"/>
      <name val="Times New Roman"/>
      <family val="1"/>
    </font>
    <font>
      <sz val="8"/>
      <name val="Arial Cyr"/>
      <family val="0"/>
    </font>
    <font>
      <sz val="14"/>
      <name val="Arial Cyr"/>
      <family val="0"/>
    </font>
    <font>
      <i/>
      <sz val="14"/>
      <name val="Times New Roman"/>
      <family val="1"/>
    </font>
    <font>
      <b/>
      <sz val="14"/>
      <name val="Times New Roman"/>
      <family val="1"/>
    </font>
    <font>
      <i/>
      <sz val="10"/>
      <name val="Arial Cyr"/>
      <family val="0"/>
    </font>
    <font>
      <i/>
      <sz val="14"/>
      <name val="Arial Cyr"/>
      <family val="0"/>
    </font>
    <font>
      <i/>
      <sz val="14"/>
      <color indexed="8"/>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b/>
      <i/>
      <sz val="14"/>
      <name val="Times New Roman"/>
      <family val="1"/>
    </font>
    <font>
      <b/>
      <sz val="12.5"/>
      <name val="Times New Roman"/>
      <family val="1"/>
    </font>
    <font>
      <i/>
      <sz val="12"/>
      <color indexed="8"/>
      <name val="Times New Roman"/>
      <family val="1"/>
    </font>
    <font>
      <i/>
      <sz val="14"/>
      <color indexed="10"/>
      <name val="Times New Roman"/>
      <family val="1"/>
    </font>
    <font>
      <b/>
      <sz val="16"/>
      <name val="Times New Roman"/>
      <family val="1"/>
    </font>
    <font>
      <i/>
      <sz val="10"/>
      <name val="Times New Roman"/>
      <family val="1"/>
    </font>
    <font>
      <sz val="18"/>
      <name val="Times New Roman"/>
      <family val="1"/>
    </font>
    <font>
      <sz val="18"/>
      <name val="Arial Cyr"/>
      <family val="0"/>
    </font>
    <font>
      <b/>
      <sz val="10"/>
      <name val="Arial Cyr"/>
      <family val="0"/>
    </font>
    <font>
      <b/>
      <sz val="14"/>
      <name val="Arial Cyr"/>
      <family val="0"/>
    </font>
    <font>
      <sz val="16"/>
      <color indexed="8"/>
      <name val="Times New Roman"/>
      <family val="1"/>
    </font>
    <font>
      <sz val="16"/>
      <name val="Arial Cyr"/>
      <family val="2"/>
    </font>
    <font>
      <i/>
      <sz val="16"/>
      <name val="Times New Roman"/>
      <family val="1"/>
    </font>
    <font>
      <i/>
      <sz val="16"/>
      <name val="Arial Cyr"/>
      <family val="2"/>
    </font>
    <font>
      <i/>
      <sz val="16"/>
      <color indexed="8"/>
      <name val="Times New Roman"/>
      <family val="1"/>
    </font>
    <font>
      <sz val="16"/>
      <color indexed="10"/>
      <name val="Times New Roman"/>
      <family val="1"/>
    </font>
    <font>
      <b/>
      <sz val="16"/>
      <color indexed="8"/>
      <name val="Times New Roman"/>
      <family val="1"/>
    </font>
    <font>
      <sz val="11"/>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9"/>
      <name val="Times New Roman"/>
      <family val="1"/>
    </font>
    <font>
      <i/>
      <sz val="16"/>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0"/>
      <name val="Times New Roman"/>
      <family val="1"/>
    </font>
    <font>
      <i/>
      <sz val="16"/>
      <color theme="0"/>
      <name val="Times New Roman"/>
      <family val="1"/>
    </font>
    <font>
      <sz val="16"/>
      <color theme="1"/>
      <name val="Times New Roman"/>
      <family val="1"/>
    </font>
    <font>
      <sz val="14"/>
      <color theme="1"/>
      <name val="Times New Roman"/>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2"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3"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1" applyNumberFormat="0" applyAlignment="0" applyProtection="0"/>
    <xf numFmtId="0" fontId="59" fillId="2" borderId="2" applyNumberFormat="0" applyAlignment="0" applyProtection="0"/>
    <xf numFmtId="0" fontId="60"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45"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1" fillId="0" borderId="6" applyNumberFormat="0" applyFill="0" applyAlignment="0" applyProtection="0"/>
    <xf numFmtId="0" fontId="62" fillId="20" borderId="7" applyNumberFormat="0" applyAlignment="0" applyProtection="0"/>
    <xf numFmtId="0" fontId="20" fillId="0" borderId="0" applyNumberFormat="0" applyFill="0" applyBorder="0" applyAlignment="0" applyProtection="0"/>
    <xf numFmtId="0" fontId="63" fillId="21" borderId="0" applyNumberFormat="0" applyBorder="0" applyAlignment="0" applyProtection="0"/>
    <xf numFmtId="0" fontId="2" fillId="0" borderId="0" applyNumberFormat="0" applyFill="0" applyBorder="0" applyAlignment="0" applyProtection="0"/>
    <xf numFmtId="0" fontId="64" fillId="22"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4" borderId="0" applyNumberFormat="0" applyBorder="0" applyAlignment="0" applyProtection="0"/>
  </cellStyleXfs>
  <cellXfs count="203">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188" fontId="3" fillId="0" borderId="0" xfId="0" applyNumberFormat="1" applyFont="1" applyFill="1" applyBorder="1" applyAlignment="1">
      <alignment wrapText="1"/>
    </xf>
    <xf numFmtId="188"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93" fontId="3" fillId="0" borderId="0" xfId="0" applyNumberFormat="1" applyFont="1" applyFill="1" applyAlignment="1">
      <alignment wrapText="1"/>
    </xf>
    <xf numFmtId="0" fontId="3" fillId="0" borderId="0" xfId="0" applyFont="1" applyFill="1" applyBorder="1" applyAlignment="1">
      <alignment/>
    </xf>
    <xf numFmtId="0" fontId="5" fillId="0" borderId="0" xfId="0" applyFont="1" applyFill="1" applyAlignment="1">
      <alignment wrapText="1"/>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198" fontId="3" fillId="0" borderId="0" xfId="0" applyNumberFormat="1" applyFont="1" applyFill="1" applyAlignment="1">
      <alignment wrapText="1"/>
    </xf>
    <xf numFmtId="198" fontId="7" fillId="0" borderId="0" xfId="0" applyNumberFormat="1" applyFont="1" applyFill="1" applyBorder="1" applyAlignment="1">
      <alignment wrapText="1"/>
    </xf>
    <xf numFmtId="198" fontId="3" fillId="0" borderId="0" xfId="0" applyNumberFormat="1" applyFont="1" applyFill="1" applyBorder="1" applyAlignment="1">
      <alignment wrapText="1"/>
    </xf>
    <xf numFmtId="198" fontId="3" fillId="0" borderId="0" xfId="0" applyNumberFormat="1" applyFont="1" applyFill="1" applyAlignment="1">
      <alignment/>
    </xf>
    <xf numFmtId="197" fontId="7" fillId="0" borderId="0" xfId="0" applyNumberFormat="1" applyFont="1" applyFill="1" applyBorder="1" applyAlignment="1">
      <alignment wrapText="1"/>
    </xf>
    <xf numFmtId="0" fontId="0" fillId="0" borderId="0" xfId="0" applyFont="1" applyFill="1" applyAlignment="1">
      <alignment wrapText="1"/>
    </xf>
    <xf numFmtId="0" fontId="7" fillId="0" borderId="0" xfId="0" applyFont="1" applyFill="1" applyBorder="1" applyAlignment="1">
      <alignment/>
    </xf>
    <xf numFmtId="0" fontId="9" fillId="0" borderId="0" xfId="0" applyFont="1" applyFill="1" applyBorder="1" applyAlignment="1">
      <alignment/>
    </xf>
    <xf numFmtId="198" fontId="0" fillId="0" borderId="0" xfId="0" applyNumberFormat="1" applyFont="1" applyFill="1" applyBorder="1" applyAlignment="1">
      <alignment/>
    </xf>
    <xf numFmtId="0" fontId="4" fillId="0" borderId="0" xfId="0" applyFont="1" applyFill="1" applyBorder="1" applyAlignment="1">
      <alignment/>
    </xf>
    <xf numFmtId="198" fontId="3" fillId="0" borderId="0" xfId="0" applyNumberFormat="1" applyFont="1" applyFill="1" applyBorder="1" applyAlignment="1">
      <alignment/>
    </xf>
    <xf numFmtId="188" fontId="0" fillId="0" borderId="0" xfId="0" applyNumberFormat="1" applyFont="1" applyFill="1" applyBorder="1" applyAlignment="1">
      <alignment wrapText="1"/>
    </xf>
    <xf numFmtId="188" fontId="0" fillId="0" borderId="0" xfId="0" applyNumberFormat="1" applyFont="1" applyFill="1" applyAlignment="1">
      <alignment wrapText="1"/>
    </xf>
    <xf numFmtId="193" fontId="0" fillId="0" borderId="0" xfId="0" applyNumberFormat="1" applyFont="1" applyFill="1" applyAlignment="1">
      <alignment wrapText="1"/>
    </xf>
    <xf numFmtId="0" fontId="3" fillId="0" borderId="0" xfId="0" applyFont="1" applyFill="1" applyAlignment="1">
      <alignment horizontal="center"/>
    </xf>
    <xf numFmtId="0" fontId="3" fillId="0" borderId="0" xfId="0" applyFont="1" applyFill="1" applyBorder="1" applyAlignment="1">
      <alignment horizontal="center"/>
    </xf>
    <xf numFmtId="0" fontId="11" fillId="0" borderId="0" xfId="0" applyFont="1" applyFill="1" applyAlignment="1">
      <alignment horizontal="center"/>
    </xf>
    <xf numFmtId="0" fontId="3" fillId="0" borderId="0" xfId="0" applyFont="1" applyFill="1" applyAlignment="1">
      <alignment horizontal="left" wrapText="1"/>
    </xf>
    <xf numFmtId="49" fontId="13" fillId="0" borderId="0" xfId="0" applyNumberFormat="1" applyFont="1" applyFill="1" applyBorder="1" applyAlignment="1">
      <alignment horizontal="center"/>
    </xf>
    <xf numFmtId="0" fontId="13" fillId="0" borderId="0" xfId="0" applyFont="1" applyFill="1" applyBorder="1" applyAlignment="1">
      <alignment horizontal="lef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198" fontId="8" fillId="0" borderId="0" xfId="0" applyNumberFormat="1" applyFont="1" applyFill="1" applyBorder="1" applyAlignment="1" applyProtection="1">
      <alignment/>
      <protection locked="0"/>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center" wrapText="1"/>
    </xf>
    <xf numFmtId="0" fontId="12" fillId="0" borderId="0" xfId="0" applyFont="1" applyFill="1" applyBorder="1" applyAlignment="1">
      <alignment wrapText="1"/>
    </xf>
    <xf numFmtId="198" fontId="12" fillId="0" borderId="0" xfId="0" applyNumberFormat="1" applyFont="1" applyFill="1" applyBorder="1" applyAlignment="1">
      <alignment wrapText="1"/>
    </xf>
    <xf numFmtId="0" fontId="12" fillId="0" borderId="0" xfId="0" applyFont="1" applyFill="1" applyBorder="1" applyAlignment="1">
      <alignment/>
    </xf>
    <xf numFmtId="0" fontId="3" fillId="0" borderId="0" xfId="0" applyFont="1" applyFill="1" applyBorder="1" applyAlignment="1">
      <alignment vertical="center" wrapText="1"/>
    </xf>
    <xf numFmtId="1"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0" xfId="0" applyFont="1" applyFill="1" applyBorder="1" applyAlignment="1">
      <alignment wrapText="1"/>
    </xf>
    <xf numFmtId="49" fontId="12" fillId="0" borderId="0" xfId="0" applyNumberFormat="1" applyFont="1" applyFill="1" applyBorder="1" applyAlignment="1">
      <alignment/>
    </xf>
    <xf numFmtId="0" fontId="12" fillId="0" borderId="0" xfId="0" applyFont="1" applyFill="1" applyBorder="1" applyAlignment="1">
      <alignment horizontal="left" wrapText="1"/>
    </xf>
    <xf numFmtId="0" fontId="14" fillId="0" borderId="0" xfId="0" applyFont="1" applyFill="1" applyBorder="1" applyAlignment="1">
      <alignment/>
    </xf>
    <xf numFmtId="49" fontId="15" fillId="0" borderId="0" xfId="0" applyNumberFormat="1" applyFont="1" applyFill="1" applyBorder="1" applyAlignment="1">
      <alignment horizontal="center"/>
    </xf>
    <xf numFmtId="0" fontId="13" fillId="0" borderId="0" xfId="0" applyFont="1" applyFill="1" applyBorder="1" applyAlignment="1">
      <alignment wrapText="1"/>
    </xf>
    <xf numFmtId="198" fontId="9" fillId="0" borderId="0" xfId="0" applyNumberFormat="1" applyFont="1" applyFill="1" applyBorder="1" applyAlignment="1">
      <alignment wrapText="1"/>
    </xf>
    <xf numFmtId="0" fontId="13" fillId="0" borderId="0" xfId="0" applyFont="1" applyFill="1" applyBorder="1" applyAlignment="1">
      <alignment/>
    </xf>
    <xf numFmtId="197" fontId="12" fillId="0" borderId="0" xfId="0" applyNumberFormat="1" applyFont="1" applyFill="1" applyBorder="1" applyAlignment="1">
      <alignment/>
    </xf>
    <xf numFmtId="1" fontId="12" fillId="0" borderId="0" xfId="0" applyNumberFormat="1" applyFont="1" applyFill="1" applyBorder="1" applyAlignment="1">
      <alignment horizontal="left" wrapText="1"/>
    </xf>
    <xf numFmtId="198" fontId="13" fillId="0" borderId="0" xfId="0" applyNumberFormat="1" applyFont="1" applyFill="1" applyBorder="1" applyAlignment="1">
      <alignment/>
    </xf>
    <xf numFmtId="198" fontId="12" fillId="0" borderId="0" xfId="0" applyNumberFormat="1" applyFont="1" applyFill="1" applyBorder="1" applyAlignment="1">
      <alignment/>
    </xf>
    <xf numFmtId="1" fontId="12" fillId="0" borderId="0" xfId="0" applyNumberFormat="1" applyFont="1" applyFill="1" applyBorder="1" applyAlignment="1">
      <alignment wrapText="1"/>
    </xf>
    <xf numFmtId="198" fontId="16" fillId="0" borderId="0" xfId="0" applyNumberFormat="1" applyFont="1" applyFill="1" applyBorder="1" applyAlignment="1" applyProtection="1">
      <alignment/>
      <protection locked="0"/>
    </xf>
    <xf numFmtId="198" fontId="4" fillId="0" borderId="0" xfId="0" applyNumberFormat="1" applyFont="1" applyFill="1" applyAlignment="1">
      <alignment wrapText="1"/>
    </xf>
    <xf numFmtId="0" fontId="4" fillId="0" borderId="0" xfId="0" applyFont="1" applyFill="1" applyAlignment="1">
      <alignment wrapText="1"/>
    </xf>
    <xf numFmtId="49" fontId="3" fillId="0" borderId="0" xfId="0" applyNumberFormat="1" applyFont="1" applyFill="1" applyAlignment="1">
      <alignment horizontal="center"/>
    </xf>
    <xf numFmtId="0" fontId="8" fillId="0" borderId="0" xfId="0" applyFont="1" applyFill="1" applyBorder="1" applyAlignment="1">
      <alignment wrapText="1"/>
    </xf>
    <xf numFmtId="49" fontId="3" fillId="0" borderId="0" xfId="0" applyNumberFormat="1" applyFont="1" applyFill="1" applyAlignment="1">
      <alignment horizontal="center" vertical="top"/>
    </xf>
    <xf numFmtId="0" fontId="3" fillId="0" borderId="0" xfId="0" applyFont="1" applyFill="1" applyAlignment="1">
      <alignment horizontal="justify" wrapText="1"/>
    </xf>
    <xf numFmtId="198" fontId="13" fillId="0" borderId="0" xfId="0" applyNumberFormat="1" applyFont="1" applyFill="1" applyBorder="1" applyAlignment="1">
      <alignment wrapText="1"/>
    </xf>
    <xf numFmtId="1" fontId="13" fillId="0" borderId="0" xfId="0" applyNumberFormat="1" applyFont="1" applyFill="1" applyBorder="1" applyAlignment="1">
      <alignment horizontal="left" wrapText="1"/>
    </xf>
    <xf numFmtId="49" fontId="9" fillId="0" borderId="0" xfId="0" applyNumberFormat="1" applyFont="1" applyFill="1" applyBorder="1" applyAlignment="1">
      <alignment horizontal="center"/>
    </xf>
    <xf numFmtId="0" fontId="9" fillId="0" borderId="0" xfId="0" applyFont="1" applyFill="1" applyBorder="1" applyAlignment="1">
      <alignment horizontal="left" wrapText="1"/>
    </xf>
    <xf numFmtId="188" fontId="9" fillId="0" borderId="0" xfId="0" applyNumberFormat="1" applyFont="1" applyFill="1" applyBorder="1" applyAlignment="1">
      <alignment wrapText="1"/>
    </xf>
    <xf numFmtId="0" fontId="0" fillId="0" borderId="0" xfId="0" applyFont="1" applyFill="1" applyBorder="1" applyAlignment="1">
      <alignment/>
    </xf>
    <xf numFmtId="198" fontId="7" fillId="0" borderId="0" xfId="0" applyNumberFormat="1" applyFont="1" applyFill="1" applyBorder="1" applyAlignment="1">
      <alignment/>
    </xf>
    <xf numFmtId="198" fontId="6" fillId="0" borderId="0" xfId="0" applyNumberFormat="1" applyFont="1" applyFill="1" applyBorder="1" applyAlignment="1">
      <alignment/>
    </xf>
    <xf numFmtId="0" fontId="6" fillId="0" borderId="0" xfId="0" applyFont="1" applyFill="1" applyBorder="1" applyAlignment="1">
      <alignment/>
    </xf>
    <xf numFmtId="198" fontId="13" fillId="0" borderId="0" xfId="0" applyNumberFormat="1" applyFont="1" applyFill="1" applyBorder="1" applyAlignment="1">
      <alignment horizontal="center" wrapText="1"/>
    </xf>
    <xf numFmtId="0" fontId="17" fillId="0" borderId="0" xfId="0" applyFont="1" applyFill="1" applyBorder="1" applyAlignment="1">
      <alignment/>
    </xf>
    <xf numFmtId="1" fontId="13" fillId="0" borderId="0" xfId="0" applyNumberFormat="1" applyFont="1" applyFill="1" applyBorder="1" applyAlignment="1">
      <alignment wrapText="1"/>
    </xf>
    <xf numFmtId="198" fontId="17" fillId="0" borderId="0" xfId="0" applyNumberFormat="1" applyFont="1" applyFill="1" applyBorder="1" applyAlignment="1">
      <alignment/>
    </xf>
    <xf numFmtId="49" fontId="12" fillId="0" borderId="0" xfId="0" applyNumberFormat="1" applyFont="1" applyFill="1" applyAlignment="1">
      <alignment horizontal="center"/>
    </xf>
    <xf numFmtId="0" fontId="9" fillId="0" borderId="0" xfId="0" applyFont="1" applyFill="1" applyAlignment="1">
      <alignment horizontal="left" wrapText="1"/>
    </xf>
    <xf numFmtId="0" fontId="11" fillId="0" borderId="0" xfId="0" applyFont="1" applyFill="1" applyBorder="1" applyAlignment="1">
      <alignment/>
    </xf>
    <xf numFmtId="198" fontId="4" fillId="0" borderId="0" xfId="0" applyNumberFormat="1" applyFont="1" applyFill="1" applyBorder="1" applyAlignment="1">
      <alignment horizontal="left" wrapText="1"/>
    </xf>
    <xf numFmtId="198" fontId="3" fillId="0" borderId="0" xfId="0" applyNumberFormat="1" applyFont="1" applyFill="1" applyAlignment="1">
      <alignment horizontal="left" wrapText="1"/>
    </xf>
    <xf numFmtId="188" fontId="3" fillId="0" borderId="0" xfId="0" applyNumberFormat="1" applyFont="1" applyFill="1" applyBorder="1" applyAlignment="1">
      <alignment horizontal="left" wrapText="1"/>
    </xf>
    <xf numFmtId="188" fontId="3" fillId="0" borderId="0" xfId="0" applyNumberFormat="1" applyFont="1" applyFill="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left" wrapText="1"/>
    </xf>
    <xf numFmtId="0" fontId="3" fillId="0" borderId="10" xfId="0" applyFont="1" applyFill="1" applyBorder="1" applyAlignment="1">
      <alignment/>
    </xf>
    <xf numFmtId="0" fontId="12" fillId="0" borderId="10" xfId="0" applyFont="1" applyFill="1" applyBorder="1" applyAlignment="1">
      <alignment/>
    </xf>
    <xf numFmtId="197" fontId="4" fillId="0" borderId="0" xfId="0" applyNumberFormat="1" applyFont="1" applyFill="1" applyAlignment="1">
      <alignment wrapText="1"/>
    </xf>
    <xf numFmtId="0" fontId="7" fillId="0" borderId="0" xfId="0" applyFont="1" applyFill="1" applyAlignment="1">
      <alignment horizontal="left" wrapText="1"/>
    </xf>
    <xf numFmtId="0" fontId="21" fillId="0" borderId="0" xfId="0" applyFont="1" applyFill="1" applyBorder="1" applyAlignment="1">
      <alignment/>
    </xf>
    <xf numFmtId="0" fontId="23" fillId="0" borderId="0" xfId="0" applyFont="1" applyFill="1" applyBorder="1" applyAlignment="1">
      <alignment horizontal="left" wrapText="1"/>
    </xf>
    <xf numFmtId="198" fontId="3" fillId="0" borderId="0" xfId="0" applyNumberFormat="1" applyFont="1" applyFill="1" applyAlignment="1">
      <alignment horizontal="right" wrapText="1"/>
    </xf>
    <xf numFmtId="198" fontId="3" fillId="0" borderId="0" xfId="0" applyNumberFormat="1" applyFont="1" applyFill="1" applyAlignment="1">
      <alignment horizontal="right"/>
    </xf>
    <xf numFmtId="198" fontId="17" fillId="0" borderId="0" xfId="0" applyNumberFormat="1" applyFont="1" applyFill="1" applyBorder="1" applyAlignment="1">
      <alignment wrapText="1"/>
    </xf>
    <xf numFmtId="2" fontId="5" fillId="0" borderId="0" xfId="0" applyNumberFormat="1" applyFont="1" applyFill="1" applyAlignment="1">
      <alignment wrapText="1"/>
    </xf>
    <xf numFmtId="2" fontId="3" fillId="0" borderId="0" xfId="0" applyNumberFormat="1" applyFont="1" applyFill="1" applyAlignment="1">
      <alignment wrapText="1"/>
    </xf>
    <xf numFmtId="2" fontId="3" fillId="0" borderId="0" xfId="0" applyNumberFormat="1" applyFont="1" applyFill="1" applyBorder="1" applyAlignment="1">
      <alignment wrapText="1"/>
    </xf>
    <xf numFmtId="2" fontId="17" fillId="0" borderId="0" xfId="0" applyNumberFormat="1" applyFont="1" applyFill="1" applyBorder="1" applyAlignment="1">
      <alignment wrapText="1"/>
    </xf>
    <xf numFmtId="2" fontId="4" fillId="0" borderId="0" xfId="0" applyNumberFormat="1" applyFont="1" applyFill="1" applyAlignment="1">
      <alignment wrapText="1"/>
    </xf>
    <xf numFmtId="0" fontId="25" fillId="0" borderId="0" xfId="0" applyFont="1" applyFill="1" applyBorder="1" applyAlignment="1">
      <alignment horizontal="left" wrapText="1"/>
    </xf>
    <xf numFmtId="198" fontId="26" fillId="0" borderId="0" xfId="0" applyNumberFormat="1" applyFont="1" applyFill="1" applyBorder="1" applyAlignment="1">
      <alignment/>
    </xf>
    <xf numFmtId="0" fontId="26" fillId="0" borderId="0" xfId="0" applyFont="1" applyFill="1" applyBorder="1" applyAlignment="1">
      <alignment/>
    </xf>
    <xf numFmtId="0" fontId="27" fillId="0" borderId="0" xfId="0" applyFont="1" applyFill="1" applyAlignment="1">
      <alignment horizontal="center"/>
    </xf>
    <xf numFmtId="0" fontId="27" fillId="0" borderId="0" xfId="0" applyFont="1" applyFill="1" applyAlignment="1">
      <alignment/>
    </xf>
    <xf numFmtId="2" fontId="27" fillId="0" borderId="0" xfId="0" applyNumberFormat="1" applyFont="1" applyFill="1" applyAlignment="1">
      <alignment wrapText="1"/>
    </xf>
    <xf numFmtId="198" fontId="27" fillId="0" borderId="0" xfId="0" applyNumberFormat="1" applyFont="1" applyFill="1" applyAlignment="1">
      <alignment wrapText="1"/>
    </xf>
    <xf numFmtId="198" fontId="28" fillId="0" borderId="0" xfId="0" applyNumberFormat="1" applyFont="1" applyFill="1" applyAlignment="1">
      <alignment wrapText="1"/>
    </xf>
    <xf numFmtId="49" fontId="3" fillId="25" borderId="0" xfId="0" applyNumberFormat="1" applyFont="1" applyFill="1" applyAlignment="1">
      <alignment wrapText="1"/>
    </xf>
    <xf numFmtId="49" fontId="3" fillId="25" borderId="0" xfId="0" applyNumberFormat="1" applyFont="1" applyFill="1" applyBorder="1" applyAlignment="1">
      <alignment horizontal="left"/>
    </xf>
    <xf numFmtId="49" fontId="3" fillId="25" borderId="0" xfId="0" applyNumberFormat="1" applyFont="1" applyFill="1" applyBorder="1" applyAlignment="1">
      <alignment horizontal="left" wrapText="1"/>
    </xf>
    <xf numFmtId="49" fontId="3" fillId="25" borderId="0" xfId="0" applyNumberFormat="1" applyFont="1" applyFill="1" applyAlignment="1">
      <alignment horizontal="left" wrapText="1"/>
    </xf>
    <xf numFmtId="198" fontId="3" fillId="25" borderId="0" xfId="0" applyNumberFormat="1" applyFont="1" applyFill="1" applyAlignment="1">
      <alignment wrapText="1"/>
    </xf>
    <xf numFmtId="198" fontId="3" fillId="25" borderId="0" xfId="0" applyNumberFormat="1" applyFont="1" applyFill="1" applyBorder="1" applyAlignment="1">
      <alignment/>
    </xf>
    <xf numFmtId="198" fontId="4" fillId="25" borderId="0" xfId="0" applyNumberFormat="1" applyFont="1" applyFill="1" applyAlignment="1">
      <alignment wrapText="1"/>
    </xf>
    <xf numFmtId="193" fontId="3" fillId="25" borderId="0" xfId="0" applyNumberFormat="1" applyFont="1" applyFill="1" applyAlignment="1">
      <alignment wrapText="1"/>
    </xf>
    <xf numFmtId="0" fontId="3" fillId="25" borderId="0" xfId="0" applyFont="1" applyFill="1" applyAlignment="1">
      <alignment wrapText="1"/>
    </xf>
    <xf numFmtId="49" fontId="13" fillId="0" borderId="11" xfId="0" applyNumberFormat="1" applyFont="1" applyFill="1" applyBorder="1" applyAlignment="1" applyProtection="1">
      <alignment vertical="center" wrapText="1"/>
      <protection locked="0"/>
    </xf>
    <xf numFmtId="198" fontId="29" fillId="0" borderId="0" xfId="0" applyNumberFormat="1" applyFont="1" applyFill="1" applyAlignment="1">
      <alignment/>
    </xf>
    <xf numFmtId="0" fontId="30" fillId="0" borderId="0" xfId="0" applyFont="1" applyFill="1" applyAlignment="1">
      <alignment/>
    </xf>
    <xf numFmtId="49" fontId="21" fillId="0" borderId="0" xfId="0" applyNumberFormat="1" applyFont="1" applyFill="1" applyBorder="1" applyAlignment="1">
      <alignment horizontal="center"/>
    </xf>
    <xf numFmtId="0" fontId="15" fillId="0" borderId="0" xfId="0" applyFont="1" applyFill="1" applyBorder="1" applyAlignment="1">
      <alignment/>
    </xf>
    <xf numFmtId="0" fontId="12" fillId="0" borderId="0" xfId="0" applyFont="1" applyFill="1" applyBorder="1" applyAlignment="1">
      <alignment vertical="center" wrapText="1"/>
    </xf>
    <xf numFmtId="0" fontId="13" fillId="0" borderId="11" xfId="0" applyFont="1" applyFill="1" applyBorder="1" applyAlignment="1">
      <alignment vertical="center" wrapText="1"/>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vertical="center" wrapText="1"/>
    </xf>
    <xf numFmtId="0" fontId="6" fillId="0" borderId="10" xfId="0" applyFont="1" applyFill="1" applyBorder="1" applyAlignment="1">
      <alignment horizontal="center"/>
    </xf>
    <xf numFmtId="0" fontId="6" fillId="0" borderId="10" xfId="0" applyFont="1" applyFill="1" applyBorder="1" applyAlignment="1" applyProtection="1">
      <alignment horizontal="center"/>
      <protection locked="0"/>
    </xf>
    <xf numFmtId="49" fontId="21" fillId="0" borderId="10" xfId="0" applyNumberFormat="1" applyFont="1" applyFill="1" applyBorder="1" applyAlignment="1" applyProtection="1">
      <alignment horizontal="center" vertical="center" wrapText="1"/>
      <protection locked="0"/>
    </xf>
    <xf numFmtId="196" fontId="4" fillId="0" borderId="0" xfId="0" applyNumberFormat="1" applyFont="1" applyFill="1" applyBorder="1" applyAlignment="1">
      <alignment wrapText="1"/>
    </xf>
    <xf numFmtId="196" fontId="31" fillId="0" borderId="0" xfId="0" applyNumberFormat="1" applyFont="1" applyFill="1" applyBorder="1" applyAlignment="1" applyProtection="1">
      <alignment/>
      <protection locked="0"/>
    </xf>
    <xf numFmtId="196" fontId="33" fillId="0" borderId="0" xfId="0" applyNumberFormat="1" applyFont="1" applyFill="1" applyBorder="1" applyAlignment="1">
      <alignment wrapText="1"/>
    </xf>
    <xf numFmtId="196" fontId="4" fillId="0" borderId="0" xfId="0" applyNumberFormat="1" applyFont="1" applyFill="1" applyBorder="1" applyAlignment="1" applyProtection="1">
      <alignment/>
      <protection locked="0"/>
    </xf>
    <xf numFmtId="196" fontId="25" fillId="0" borderId="0" xfId="0" applyNumberFormat="1" applyFont="1" applyFill="1" applyBorder="1" applyAlignment="1">
      <alignment wrapText="1"/>
    </xf>
    <xf numFmtId="196" fontId="35" fillId="0" borderId="0" xfId="0" applyNumberFormat="1" applyFont="1" applyFill="1" applyBorder="1" applyAlignment="1" applyProtection="1">
      <alignment/>
      <protection locked="0"/>
    </xf>
    <xf numFmtId="196" fontId="33" fillId="0" borderId="0" xfId="0" applyNumberFormat="1" applyFont="1" applyFill="1" applyAlignment="1">
      <alignment horizontal="right" wrapText="1"/>
    </xf>
    <xf numFmtId="196" fontId="4" fillId="0" borderId="0" xfId="0" applyNumberFormat="1" applyFont="1" applyFill="1" applyAlignment="1">
      <alignment horizontal="right" wrapText="1"/>
    </xf>
    <xf numFmtId="196" fontId="36" fillId="0" borderId="0" xfId="0" applyNumberFormat="1" applyFont="1" applyFill="1" applyBorder="1" applyAlignment="1">
      <alignment wrapText="1"/>
    </xf>
    <xf numFmtId="196" fontId="33" fillId="0" borderId="0" xfId="0" applyNumberFormat="1" applyFont="1" applyFill="1" applyBorder="1" applyAlignment="1" applyProtection="1">
      <alignment/>
      <protection locked="0"/>
    </xf>
    <xf numFmtId="196" fontId="4" fillId="0" borderId="0" xfId="0" applyNumberFormat="1" applyFont="1" applyFill="1" applyAlignment="1">
      <alignment horizontal="right"/>
    </xf>
    <xf numFmtId="196" fontId="33" fillId="0" borderId="0" xfId="0" applyNumberFormat="1" applyFont="1" applyFill="1" applyBorder="1" applyAlignment="1">
      <alignment horizontal="right" wrapText="1"/>
    </xf>
    <xf numFmtId="196" fontId="34" fillId="0" borderId="0" xfId="0" applyNumberFormat="1" applyFont="1" applyFill="1" applyBorder="1" applyAlignment="1">
      <alignment wrapText="1"/>
    </xf>
    <xf numFmtId="196" fontId="34" fillId="0" borderId="0" xfId="0" applyNumberFormat="1" applyFont="1" applyFill="1" applyBorder="1" applyAlignment="1">
      <alignment wrapText="1"/>
    </xf>
    <xf numFmtId="196" fontId="69" fillId="0" borderId="0" xfId="0" applyNumberFormat="1" applyFont="1" applyFill="1" applyBorder="1" applyAlignment="1">
      <alignment wrapText="1"/>
    </xf>
    <xf numFmtId="196" fontId="70" fillId="0" borderId="0" xfId="0" applyNumberFormat="1" applyFont="1" applyFill="1" applyBorder="1" applyAlignment="1">
      <alignment wrapText="1"/>
    </xf>
    <xf numFmtId="196" fontId="4" fillId="0" borderId="0" xfId="0" applyNumberFormat="1" applyFont="1" applyFill="1" applyBorder="1" applyAlignment="1">
      <alignment horizontal="right" wrapText="1"/>
    </xf>
    <xf numFmtId="196" fontId="71" fillId="0" borderId="0" xfId="0" applyNumberFormat="1" applyFont="1" applyFill="1" applyBorder="1" applyAlignment="1" applyProtection="1">
      <alignment/>
      <protection locked="0"/>
    </xf>
    <xf numFmtId="196" fontId="25" fillId="0" borderId="0" xfId="0" applyNumberFormat="1" applyFont="1" applyFill="1" applyBorder="1" applyAlignment="1">
      <alignment horizontal="center" wrapText="1"/>
    </xf>
    <xf numFmtId="196" fontId="25" fillId="0" borderId="0" xfId="0" applyNumberFormat="1" applyFont="1" applyFill="1" applyBorder="1" applyAlignment="1">
      <alignment horizontal="right" wrapText="1"/>
    </xf>
    <xf numFmtId="2" fontId="38" fillId="0" borderId="0" xfId="0" applyNumberFormat="1" applyFont="1" applyAlignment="1">
      <alignment/>
    </xf>
    <xf numFmtId="2" fontId="38" fillId="0" borderId="0" xfId="0" applyNumberFormat="1" applyFont="1" applyAlignment="1">
      <alignment horizontal="left"/>
    </xf>
    <xf numFmtId="195" fontId="3" fillId="0" borderId="0" xfId="0" applyNumberFormat="1" applyFont="1" applyFill="1" applyBorder="1" applyAlignment="1">
      <alignment wrapText="1"/>
    </xf>
    <xf numFmtId="195" fontId="3" fillId="0" borderId="0" xfId="0" applyNumberFormat="1" applyFont="1" applyFill="1" applyBorder="1" applyAlignment="1">
      <alignment/>
    </xf>
    <xf numFmtId="195" fontId="3" fillId="0" borderId="0" xfId="0" applyNumberFormat="1" applyFont="1" applyFill="1" applyBorder="1" applyAlignment="1">
      <alignment horizontal="right"/>
    </xf>
    <xf numFmtId="195" fontId="3" fillId="0" borderId="0" xfId="0" applyNumberFormat="1" applyFont="1" applyFill="1" applyAlignment="1">
      <alignment wrapText="1"/>
    </xf>
    <xf numFmtId="198" fontId="25" fillId="0" borderId="0" xfId="0" applyNumberFormat="1" applyFont="1" applyFill="1" applyBorder="1" applyAlignment="1">
      <alignment wrapText="1"/>
    </xf>
    <xf numFmtId="0" fontId="38" fillId="0" borderId="0" xfId="0" applyFont="1" applyAlignment="1">
      <alignment horizontal="right"/>
    </xf>
    <xf numFmtId="0" fontId="25" fillId="0" borderId="0" xfId="0" applyFont="1" applyFill="1" applyBorder="1" applyAlignment="1">
      <alignment/>
    </xf>
    <xf numFmtId="49" fontId="25" fillId="0" borderId="0" xfId="0" applyNumberFormat="1" applyFont="1" applyFill="1" applyBorder="1" applyAlignment="1">
      <alignment horizontal="center"/>
    </xf>
    <xf numFmtId="198" fontId="25" fillId="0" borderId="0" xfId="0" applyNumberFormat="1" applyFont="1" applyFill="1" applyBorder="1" applyAlignment="1">
      <alignment/>
    </xf>
    <xf numFmtId="0" fontId="5" fillId="0" borderId="0" xfId="0" applyFont="1" applyFill="1" applyAlignment="1">
      <alignment/>
    </xf>
    <xf numFmtId="0" fontId="39" fillId="0" borderId="0" xfId="0" applyFont="1" applyFill="1" applyAlignment="1">
      <alignment/>
    </xf>
    <xf numFmtId="49" fontId="3" fillId="0" borderId="0" xfId="0" applyNumberFormat="1" applyFont="1" applyFill="1" applyAlignment="1">
      <alignment horizontal="center" wrapText="1"/>
    </xf>
    <xf numFmtId="198" fontId="27" fillId="0" borderId="0" xfId="0" applyNumberFormat="1" applyFont="1" applyFill="1" applyAlignment="1">
      <alignment horizontal="center" wrapText="1"/>
    </xf>
    <xf numFmtId="49" fontId="13" fillId="0" borderId="10" xfId="0" applyNumberFormat="1" applyFont="1" applyFill="1" applyBorder="1" applyAlignment="1">
      <alignment horizontal="center" vertical="center" wrapText="1"/>
    </xf>
    <xf numFmtId="196" fontId="33" fillId="0" borderId="0" xfId="0" applyNumberFormat="1" applyFont="1" applyFill="1" applyBorder="1" applyAlignment="1">
      <alignment horizontal="right" wrapText="1"/>
    </xf>
    <xf numFmtId="49" fontId="21" fillId="0" borderId="10" xfId="0" applyNumberFormat="1" applyFont="1" applyFill="1" applyBorder="1" applyAlignment="1" applyProtection="1">
      <alignment horizontal="center" vertical="center" wrapText="1"/>
      <protection locked="0"/>
    </xf>
    <xf numFmtId="2" fontId="27" fillId="0" borderId="0" xfId="0" applyNumberFormat="1" applyFont="1" applyFill="1" applyAlignment="1">
      <alignment horizontal="left" wrapText="1"/>
    </xf>
    <xf numFmtId="49" fontId="13" fillId="25" borderId="10" xfId="0" applyNumberFormat="1" applyFont="1" applyFill="1" applyBorder="1" applyAlignment="1">
      <alignment horizontal="center" vertical="center" wrapText="1"/>
    </xf>
    <xf numFmtId="49" fontId="13"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49" fontId="21" fillId="0" borderId="12" xfId="0" applyNumberFormat="1" applyFont="1" applyFill="1" applyBorder="1" applyAlignment="1" applyProtection="1">
      <alignment horizontal="center" vertical="center" wrapText="1"/>
      <protection locked="0"/>
    </xf>
    <xf numFmtId="49" fontId="21" fillId="0" borderId="13" xfId="0" applyNumberFormat="1" applyFont="1" applyFill="1" applyBorder="1" applyAlignment="1" applyProtection="1">
      <alignment horizontal="center" vertical="center" wrapText="1"/>
      <protection locked="0"/>
    </xf>
    <xf numFmtId="49" fontId="21" fillId="0" borderId="14" xfId="0" applyNumberFormat="1" applyFont="1" applyFill="1" applyBorder="1" applyAlignment="1" applyProtection="1">
      <alignment horizontal="center" vertical="center" wrapText="1"/>
      <protection locked="0"/>
    </xf>
    <xf numFmtId="49" fontId="21" fillId="0" borderId="15" xfId="0" applyNumberFormat="1" applyFont="1" applyFill="1" applyBorder="1" applyAlignment="1" applyProtection="1">
      <alignment horizontal="center" vertical="center" wrapText="1"/>
      <protection locked="0"/>
    </xf>
    <xf numFmtId="0" fontId="39" fillId="0" borderId="0" xfId="0" applyFont="1" applyFill="1" applyAlignment="1">
      <alignment horizontal="left" wrapText="1"/>
    </xf>
    <xf numFmtId="49" fontId="5"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0" fontId="39" fillId="0" borderId="0" xfId="0" applyFont="1" applyFill="1" applyAlignment="1">
      <alignment horizontal="left"/>
    </xf>
    <xf numFmtId="49" fontId="39" fillId="0" borderId="0" xfId="0" applyNumberFormat="1" applyFont="1" applyFill="1" applyAlignment="1">
      <alignment horizontal="center" wrapText="1"/>
    </xf>
    <xf numFmtId="49" fontId="13" fillId="2" borderId="10" xfId="0" applyNumberFormat="1"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xf>
    <xf numFmtId="0" fontId="6" fillId="0" borderId="11" xfId="0" applyFont="1" applyFill="1" applyBorder="1" applyAlignment="1">
      <alignment horizontal="center"/>
    </xf>
    <xf numFmtId="196" fontId="32" fillId="0" borderId="0" xfId="0" applyNumberFormat="1" applyFont="1" applyFill="1" applyBorder="1" applyAlignment="1">
      <alignment wrapText="1"/>
    </xf>
    <xf numFmtId="0" fontId="12" fillId="0" borderId="0" xfId="0" applyFont="1" applyFill="1" applyBorder="1" applyAlignment="1">
      <alignment horizontal="center"/>
    </xf>
    <xf numFmtId="49" fontId="13" fillId="0" borderId="0" xfId="0" applyNumberFormat="1" applyFont="1" applyFill="1" applyBorder="1" applyAlignment="1">
      <alignment horizontal="center" wrapText="1"/>
    </xf>
    <xf numFmtId="198" fontId="72" fillId="0" borderId="0" xfId="0" applyNumberFormat="1" applyFont="1" applyFill="1" applyBorder="1" applyAlignment="1" applyProtection="1">
      <alignment/>
      <protection locked="0"/>
    </xf>
    <xf numFmtId="49" fontId="9" fillId="0" borderId="0" xfId="0" applyNumberFormat="1" applyFont="1" applyFill="1" applyBorder="1" applyAlignment="1">
      <alignment horizontal="center" wrapText="1"/>
    </xf>
    <xf numFmtId="49" fontId="3" fillId="0" borderId="0" xfId="0" applyNumberFormat="1" applyFont="1" applyFill="1" applyAlignment="1">
      <alignment horizontal="center" vertical="top" wrapText="1"/>
    </xf>
    <xf numFmtId="49" fontId="12" fillId="0" borderId="0" xfId="0" applyNumberFormat="1" applyFont="1" applyFill="1" applyAlignment="1">
      <alignment horizontal="center" wrapText="1"/>
    </xf>
    <xf numFmtId="49" fontId="12" fillId="0" borderId="0" xfId="0" applyNumberFormat="1" applyFont="1" applyFill="1" applyBorder="1" applyAlignment="1">
      <alignment wrapText="1"/>
    </xf>
    <xf numFmtId="196" fontId="34" fillId="0" borderId="0" xfId="0" applyNumberFormat="1" applyFont="1" applyFill="1" applyBorder="1" applyAlignment="1">
      <alignment horizontal="right" wrapText="1"/>
    </xf>
    <xf numFmtId="198" fontId="12" fillId="0" borderId="0" xfId="0" applyNumberFormat="1" applyFont="1" applyFill="1" applyBorder="1" applyAlignment="1">
      <alignment horizontal="right" wrapText="1"/>
    </xf>
    <xf numFmtId="198" fontId="14" fillId="0" borderId="0" xfId="0" applyNumberFormat="1" applyFont="1" applyFill="1" applyBorder="1" applyAlignment="1">
      <alignment wrapText="1"/>
    </xf>
    <xf numFmtId="196" fontId="37" fillId="0" borderId="0" xfId="0" applyNumberFormat="1" applyFont="1" applyFill="1" applyBorder="1" applyAlignment="1" applyProtection="1">
      <alignment/>
      <protection locked="0"/>
    </xf>
    <xf numFmtId="196" fontId="69" fillId="0" borderId="0" xfId="0" applyNumberFormat="1" applyFont="1" applyFill="1" applyBorder="1" applyAlignment="1" applyProtection="1">
      <alignment/>
      <protection locked="0"/>
    </xf>
    <xf numFmtId="198" fontId="3" fillId="0" borderId="0" xfId="0" applyNumberFormat="1" applyFont="1" applyFill="1" applyBorder="1" applyAlignment="1">
      <alignment horizontal="right" wrapText="1"/>
    </xf>
    <xf numFmtId="196" fontId="69" fillId="0" borderId="0" xfId="0" applyNumberFormat="1" applyFont="1" applyFill="1" applyBorder="1" applyAlignment="1">
      <alignment horizontal="right" wrapText="1"/>
    </xf>
    <xf numFmtId="49" fontId="25" fillId="0" borderId="0" xfId="0" applyNumberFormat="1" applyFont="1" applyFill="1" applyBorder="1" applyAlignment="1">
      <alignment horizontal="center" wrapText="1"/>
    </xf>
    <xf numFmtId="49" fontId="3" fillId="0" borderId="0" xfId="0" applyNumberFormat="1" applyFont="1" applyFill="1" applyAlignment="1">
      <alignment wrapText="1"/>
    </xf>
    <xf numFmtId="0" fontId="27" fillId="0"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30"/>
  <sheetViews>
    <sheetView tabSelected="1" view="pageBreakPreview" zoomScale="60" zoomScaleNormal="50" zoomScalePageLayoutView="0" workbookViewId="0" topLeftCell="D1">
      <selection activeCell="D249" sqref="A249:IV314"/>
    </sheetView>
  </sheetViews>
  <sheetFormatPr defaultColWidth="9.00390625" defaultRowHeight="12.75"/>
  <cols>
    <col min="1" max="1" width="4.00390625" style="2" hidden="1" customWidth="1"/>
    <col min="2" max="2" width="8.25390625" style="2" hidden="1" customWidth="1"/>
    <col min="3" max="5" width="16.00390625" style="26" customWidth="1"/>
    <col min="6" max="6" width="10.25390625" style="107" hidden="1" customWidth="1"/>
    <col min="7" max="7" width="66.625" style="1" customWidth="1"/>
    <col min="8" max="8" width="19.25390625" style="1" customWidth="1"/>
    <col min="9" max="9" width="19.875" style="1" customWidth="1"/>
    <col min="10" max="10" width="18.375" style="1" customWidth="1"/>
    <col min="11" max="11" width="17.375" style="1" customWidth="1"/>
    <col min="12" max="12" width="11.75390625" style="95" hidden="1" customWidth="1"/>
    <col min="13" max="14" width="18.25390625" style="1" customWidth="1"/>
    <col min="15" max="15" width="17.75390625" style="17" customWidth="1"/>
    <col min="16" max="16" width="19.00390625" style="1" customWidth="1"/>
    <col min="17" max="17" width="17.125" style="1" customWidth="1"/>
    <col min="18" max="18" width="21.875" style="1" customWidth="1"/>
    <col min="19" max="19" width="18.125" style="1" customWidth="1"/>
    <col min="20" max="20" width="19.625" style="115" hidden="1" customWidth="1"/>
    <col min="21" max="21" width="19.875" style="2" customWidth="1"/>
    <col min="22" max="22" width="17.125" style="2" bestFit="1" customWidth="1"/>
    <col min="23" max="23" width="18.125" style="2" customWidth="1"/>
    <col min="24" max="16384" width="9.125" style="2" customWidth="1"/>
  </cols>
  <sheetData>
    <row r="1" spans="3:19" s="9" customFormat="1" ht="26.25" customHeight="1">
      <c r="C1" s="26"/>
      <c r="D1" s="26"/>
      <c r="E1" s="26"/>
      <c r="F1" s="107"/>
      <c r="G1" s="8"/>
      <c r="H1" s="8"/>
      <c r="I1" s="8"/>
      <c r="J1" s="8"/>
      <c r="K1" s="8"/>
      <c r="L1" s="94"/>
      <c r="M1" s="8"/>
      <c r="N1" s="8"/>
      <c r="O1" s="17"/>
      <c r="P1" s="174" t="s">
        <v>722</v>
      </c>
      <c r="Q1" s="174"/>
      <c r="R1" s="174"/>
      <c r="S1" s="174"/>
    </row>
    <row r="2" spans="3:19" s="9" customFormat="1" ht="31.5" customHeight="1">
      <c r="C2" s="26"/>
      <c r="D2" s="26"/>
      <c r="E2" s="26"/>
      <c r="F2" s="107"/>
      <c r="G2" s="8"/>
      <c r="H2" s="8"/>
      <c r="I2" s="8"/>
      <c r="J2" s="8"/>
      <c r="K2" s="8"/>
      <c r="L2" s="94"/>
      <c r="M2" s="8"/>
      <c r="N2" s="8"/>
      <c r="O2" s="159" t="s">
        <v>728</v>
      </c>
      <c r="P2" s="178" t="s">
        <v>729</v>
      </c>
      <c r="Q2" s="178"/>
      <c r="R2" s="178"/>
      <c r="S2" s="178"/>
    </row>
    <row r="3" spans="3:19" s="9" customFormat="1" ht="30.75" customHeight="1">
      <c r="C3" s="26"/>
      <c r="D3" s="26"/>
      <c r="E3" s="26"/>
      <c r="F3" s="107"/>
      <c r="G3" s="8"/>
      <c r="H3" s="8"/>
      <c r="I3" s="8"/>
      <c r="J3" s="8"/>
      <c r="K3" s="8"/>
      <c r="L3" s="94"/>
      <c r="M3" s="8"/>
      <c r="N3" s="8"/>
      <c r="O3" s="159"/>
      <c r="P3" s="160" t="s">
        <v>731</v>
      </c>
      <c r="Q3" s="160"/>
      <c r="R3" s="160"/>
      <c r="S3" s="160"/>
    </row>
    <row r="4" spans="3:20" s="9" customFormat="1" ht="36" customHeight="1">
      <c r="C4" s="26"/>
      <c r="D4" s="179" t="s">
        <v>730</v>
      </c>
      <c r="E4" s="179"/>
      <c r="F4" s="179"/>
      <c r="G4" s="179"/>
      <c r="H4" s="179"/>
      <c r="I4" s="179"/>
      <c r="J4" s="179"/>
      <c r="K4" s="179"/>
      <c r="L4" s="179"/>
      <c r="M4" s="179"/>
      <c r="N4" s="179"/>
      <c r="O4" s="179"/>
      <c r="P4" s="179"/>
      <c r="Q4" s="179"/>
      <c r="R4" s="179"/>
      <c r="S4" s="179"/>
      <c r="T4" s="179"/>
    </row>
    <row r="5" spans="3:20" s="9" customFormat="1" ht="24" customHeight="1">
      <c r="C5" s="26"/>
      <c r="D5" s="26"/>
      <c r="E5" s="26"/>
      <c r="F5" s="175"/>
      <c r="G5" s="175"/>
      <c r="H5" s="175"/>
      <c r="I5" s="175"/>
      <c r="J5" s="175"/>
      <c r="K5" s="175"/>
      <c r="L5" s="175"/>
      <c r="M5" s="175"/>
      <c r="N5" s="175"/>
      <c r="O5" s="176"/>
      <c r="P5" s="175"/>
      <c r="Q5" s="175"/>
      <c r="R5" s="175"/>
      <c r="S5" s="175"/>
      <c r="T5" s="175"/>
    </row>
    <row r="6" spans="19:20" ht="19.5" thickBot="1">
      <c r="S6" s="177" t="s">
        <v>227</v>
      </c>
      <c r="T6" s="177"/>
    </row>
    <row r="7" spans="3:20" s="10" customFormat="1" ht="38.25" customHeight="1" thickBot="1">
      <c r="C7" s="163" t="s">
        <v>15</v>
      </c>
      <c r="D7" s="180" t="s">
        <v>428</v>
      </c>
      <c r="E7" s="180" t="s">
        <v>429</v>
      </c>
      <c r="F7" s="167" t="s">
        <v>16</v>
      </c>
      <c r="G7" s="163" t="s">
        <v>17</v>
      </c>
      <c r="H7" s="169" t="s">
        <v>202</v>
      </c>
      <c r="I7" s="169"/>
      <c r="J7" s="169"/>
      <c r="K7" s="169" t="s">
        <v>228</v>
      </c>
      <c r="L7" s="169"/>
      <c r="M7" s="169"/>
      <c r="N7" s="169"/>
      <c r="O7" s="169"/>
      <c r="P7" s="169" t="s">
        <v>721</v>
      </c>
      <c r="Q7" s="169"/>
      <c r="R7" s="169"/>
      <c r="S7" s="169"/>
      <c r="T7" s="122"/>
    </row>
    <row r="8" spans="3:20" s="10" customFormat="1" ht="21.75" customHeight="1" thickBot="1">
      <c r="C8" s="163"/>
      <c r="D8" s="180"/>
      <c r="E8" s="180"/>
      <c r="F8" s="167"/>
      <c r="G8" s="163"/>
      <c r="H8" s="168" t="s">
        <v>718</v>
      </c>
      <c r="I8" s="165" t="s">
        <v>719</v>
      </c>
      <c r="J8" s="168" t="s">
        <v>720</v>
      </c>
      <c r="K8" s="168" t="s">
        <v>718</v>
      </c>
      <c r="L8" s="165" t="s">
        <v>14</v>
      </c>
      <c r="M8" s="170" t="s">
        <v>719</v>
      </c>
      <c r="N8" s="171"/>
      <c r="O8" s="168" t="s">
        <v>720</v>
      </c>
      <c r="P8" s="168" t="s">
        <v>718</v>
      </c>
      <c r="Q8" s="165" t="s">
        <v>719</v>
      </c>
      <c r="R8" s="168" t="s">
        <v>727</v>
      </c>
      <c r="S8" s="168" t="s">
        <v>720</v>
      </c>
      <c r="T8" s="116"/>
    </row>
    <row r="9" spans="3:20" s="10" customFormat="1" ht="32.25" customHeight="1" thickBot="1">
      <c r="C9" s="163"/>
      <c r="D9" s="180"/>
      <c r="E9" s="180"/>
      <c r="F9" s="167"/>
      <c r="G9" s="124"/>
      <c r="H9" s="168"/>
      <c r="I9" s="165"/>
      <c r="J9" s="168"/>
      <c r="K9" s="168"/>
      <c r="L9" s="165"/>
      <c r="M9" s="172"/>
      <c r="N9" s="173"/>
      <c r="O9" s="168"/>
      <c r="P9" s="168"/>
      <c r="Q9" s="165"/>
      <c r="R9" s="168"/>
      <c r="S9" s="168"/>
      <c r="T9" s="181" t="s">
        <v>203</v>
      </c>
    </row>
    <row r="10" spans="3:20" s="10" customFormat="1" ht="83.25" customHeight="1" thickBot="1">
      <c r="C10" s="163"/>
      <c r="D10" s="180"/>
      <c r="E10" s="180"/>
      <c r="F10" s="167"/>
      <c r="G10" s="123" t="s">
        <v>116</v>
      </c>
      <c r="H10" s="168"/>
      <c r="I10" s="165"/>
      <c r="J10" s="168"/>
      <c r="K10" s="168"/>
      <c r="L10" s="165"/>
      <c r="M10" s="127" t="s">
        <v>724</v>
      </c>
      <c r="N10" s="127" t="s">
        <v>725</v>
      </c>
      <c r="O10" s="168"/>
      <c r="P10" s="168"/>
      <c r="Q10" s="165"/>
      <c r="R10" s="168"/>
      <c r="S10" s="168"/>
      <c r="T10" s="182" t="s">
        <v>266</v>
      </c>
    </row>
    <row r="11" spans="3:20" s="10" customFormat="1" ht="17.25" customHeight="1" thickBot="1">
      <c r="C11" s="125">
        <v>1</v>
      </c>
      <c r="D11" s="183">
        <v>2</v>
      </c>
      <c r="E11" s="183">
        <v>3</v>
      </c>
      <c r="F11" s="125">
        <v>2</v>
      </c>
      <c r="G11" s="125">
        <v>4</v>
      </c>
      <c r="H11" s="126">
        <v>5</v>
      </c>
      <c r="I11" s="125">
        <v>6</v>
      </c>
      <c r="J11" s="126">
        <v>7</v>
      </c>
      <c r="K11" s="125">
        <v>8</v>
      </c>
      <c r="L11" s="126">
        <v>9</v>
      </c>
      <c r="M11" s="125">
        <v>10</v>
      </c>
      <c r="N11" s="125">
        <v>11</v>
      </c>
      <c r="O11" s="126">
        <v>12</v>
      </c>
      <c r="P11" s="125">
        <v>13</v>
      </c>
      <c r="Q11" s="126">
        <v>14</v>
      </c>
      <c r="R11" s="125">
        <v>15</v>
      </c>
      <c r="S11" s="126">
        <v>16</v>
      </c>
      <c r="T11" s="184">
        <v>15</v>
      </c>
    </row>
    <row r="12" spans="3:21" s="7" customFormat="1" ht="42.75" customHeight="1">
      <c r="C12" s="30" t="s">
        <v>135</v>
      </c>
      <c r="D12" s="30"/>
      <c r="E12" s="30"/>
      <c r="F12" s="5"/>
      <c r="G12" s="31" t="s">
        <v>413</v>
      </c>
      <c r="H12" s="128"/>
      <c r="I12" s="128"/>
      <c r="J12" s="128"/>
      <c r="K12" s="128"/>
      <c r="L12" s="128"/>
      <c r="M12" s="128"/>
      <c r="N12" s="128"/>
      <c r="O12" s="128"/>
      <c r="P12" s="128"/>
      <c r="Q12" s="128"/>
      <c r="R12" s="128"/>
      <c r="S12" s="128"/>
      <c r="T12" s="14"/>
      <c r="U12" s="22"/>
    </row>
    <row r="13" spans="3:21" s="7" customFormat="1" ht="56.25" customHeight="1">
      <c r="C13" s="119" t="s">
        <v>141</v>
      </c>
      <c r="D13" s="30"/>
      <c r="E13" s="30"/>
      <c r="F13" s="5"/>
      <c r="G13" s="31" t="s">
        <v>412</v>
      </c>
      <c r="H13" s="128"/>
      <c r="I13" s="128"/>
      <c r="J13" s="128"/>
      <c r="K13" s="128" t="s">
        <v>302</v>
      </c>
      <c r="L13" s="128"/>
      <c r="M13" s="128"/>
      <c r="N13" s="128"/>
      <c r="O13" s="128"/>
      <c r="P13" s="128"/>
      <c r="Q13" s="128"/>
      <c r="R13" s="128"/>
      <c r="S13" s="128"/>
      <c r="T13" s="14"/>
      <c r="U13" s="22"/>
    </row>
    <row r="14" spans="1:20" s="18" customFormat="1" ht="90" customHeight="1">
      <c r="A14" s="18">
        <v>1</v>
      </c>
      <c r="B14" s="18">
        <v>1</v>
      </c>
      <c r="C14" s="32" t="s">
        <v>303</v>
      </c>
      <c r="D14" s="32" t="s">
        <v>439</v>
      </c>
      <c r="E14" s="32" t="s">
        <v>440</v>
      </c>
      <c r="F14" s="5" t="s">
        <v>205</v>
      </c>
      <c r="G14" s="60" t="s">
        <v>622</v>
      </c>
      <c r="H14" s="128">
        <f>SUM(H15:H16)</f>
        <v>10528.3</v>
      </c>
      <c r="I14" s="128">
        <f>SUM(I15:I16)</f>
        <v>2148.6512000000002</v>
      </c>
      <c r="J14" s="128">
        <f>I14/H14*100</f>
        <v>20.408339428017822</v>
      </c>
      <c r="K14" s="128">
        <f aca="true" t="shared" si="0" ref="K14:T14">SUM(K15:K16)</f>
        <v>784.5</v>
      </c>
      <c r="L14" s="128">
        <f t="shared" si="0"/>
        <v>0</v>
      </c>
      <c r="M14" s="128">
        <f t="shared" si="0"/>
        <v>0</v>
      </c>
      <c r="N14" s="128">
        <f t="shared" si="0"/>
        <v>0</v>
      </c>
      <c r="O14" s="128">
        <f>M14/K14*100</f>
        <v>0</v>
      </c>
      <c r="P14" s="128">
        <f>H14+K14</f>
        <v>11312.8</v>
      </c>
      <c r="Q14" s="128">
        <f>I14+M14</f>
        <v>2148.6512000000002</v>
      </c>
      <c r="R14" s="128">
        <f>Q14-P14</f>
        <v>-9164.148799999999</v>
      </c>
      <c r="S14" s="128">
        <f>Q14/P14*100</f>
        <v>18.993098083586737</v>
      </c>
      <c r="T14" s="14">
        <f t="shared" si="0"/>
        <v>774</v>
      </c>
    </row>
    <row r="15" spans="3:20" s="7" customFormat="1" ht="43.5" customHeight="1">
      <c r="C15" s="32"/>
      <c r="D15" s="32"/>
      <c r="E15" s="32"/>
      <c r="F15" s="5"/>
      <c r="G15" s="60" t="s">
        <v>204</v>
      </c>
      <c r="H15" s="129">
        <v>10518.3</v>
      </c>
      <c r="I15" s="129">
        <v>2148.06302</v>
      </c>
      <c r="J15" s="128">
        <f aca="true" t="shared" si="1" ref="J15:J30">I15/H15*100</f>
        <v>20.42215015734482</v>
      </c>
      <c r="K15" s="129">
        <v>784.5</v>
      </c>
      <c r="L15" s="129"/>
      <c r="M15" s="128">
        <v>0</v>
      </c>
      <c r="N15" s="128">
        <v>0</v>
      </c>
      <c r="O15" s="128">
        <f>M15/K15*100</f>
        <v>0</v>
      </c>
      <c r="P15" s="128">
        <f aca="true" t="shared" si="2" ref="P15:P30">H15+K15</f>
        <v>11302.8</v>
      </c>
      <c r="Q15" s="128">
        <f aca="true" t="shared" si="3" ref="Q15:Q30">I15+M15</f>
        <v>2148.06302</v>
      </c>
      <c r="R15" s="128">
        <f>Q15-P15</f>
        <v>-9154.73698</v>
      </c>
      <c r="S15" s="128">
        <f aca="true" t="shared" si="4" ref="S15:S30">Q15/P15*100</f>
        <v>19.004698127897512</v>
      </c>
      <c r="T15" s="34">
        <v>774</v>
      </c>
    </row>
    <row r="16" spans="3:20" s="7" customFormat="1" ht="66" customHeight="1">
      <c r="C16" s="32"/>
      <c r="D16" s="32"/>
      <c r="E16" s="32"/>
      <c r="F16" s="5"/>
      <c r="G16" s="33" t="s">
        <v>430</v>
      </c>
      <c r="H16" s="129">
        <v>10</v>
      </c>
      <c r="I16" s="128">
        <v>0.58818</v>
      </c>
      <c r="J16" s="128">
        <f t="shared" si="1"/>
        <v>5.8818</v>
      </c>
      <c r="K16" s="128"/>
      <c r="L16" s="128"/>
      <c r="M16" s="128"/>
      <c r="N16" s="128"/>
      <c r="O16" s="185"/>
      <c r="P16" s="128">
        <f t="shared" si="2"/>
        <v>10</v>
      </c>
      <c r="Q16" s="128">
        <f t="shared" si="3"/>
        <v>0.58818</v>
      </c>
      <c r="R16" s="128">
        <f>Q16-P16</f>
        <v>-9.41182</v>
      </c>
      <c r="S16" s="128">
        <f t="shared" si="4"/>
        <v>5.8818</v>
      </c>
      <c r="T16" s="14"/>
    </row>
    <row r="17" spans="1:20" s="7" customFormat="1" ht="94.5" customHeight="1">
      <c r="A17" s="50">
        <v>11</v>
      </c>
      <c r="B17" s="7">
        <v>4</v>
      </c>
      <c r="C17" s="32" t="s">
        <v>52</v>
      </c>
      <c r="D17" s="32" t="s">
        <v>444</v>
      </c>
      <c r="E17" s="32" t="s">
        <v>445</v>
      </c>
      <c r="F17" s="5" t="s">
        <v>224</v>
      </c>
      <c r="G17" s="40" t="s">
        <v>318</v>
      </c>
      <c r="H17" s="128"/>
      <c r="I17" s="128"/>
      <c r="J17" s="128"/>
      <c r="K17" s="128">
        <v>112</v>
      </c>
      <c r="L17" s="128"/>
      <c r="M17" s="128">
        <v>0</v>
      </c>
      <c r="N17" s="128">
        <v>0</v>
      </c>
      <c r="O17" s="128">
        <f>M17/K17*100</f>
        <v>0</v>
      </c>
      <c r="P17" s="128">
        <f t="shared" si="2"/>
        <v>112</v>
      </c>
      <c r="Q17" s="128">
        <f t="shared" si="3"/>
        <v>0</v>
      </c>
      <c r="R17" s="128">
        <f>Q17-P17</f>
        <v>-112</v>
      </c>
      <c r="S17" s="128">
        <f t="shared" si="4"/>
        <v>0</v>
      </c>
      <c r="T17" s="14">
        <v>112</v>
      </c>
    </row>
    <row r="18" spans="1:20" s="7" customFormat="1" ht="34.5" customHeight="1">
      <c r="A18" s="50">
        <v>12</v>
      </c>
      <c r="B18" s="7">
        <v>3</v>
      </c>
      <c r="C18" s="32" t="s">
        <v>137</v>
      </c>
      <c r="D18" s="32" t="s">
        <v>441</v>
      </c>
      <c r="E18" s="32" t="s">
        <v>443</v>
      </c>
      <c r="F18" s="5"/>
      <c r="G18" s="33" t="s">
        <v>138</v>
      </c>
      <c r="H18" s="128">
        <f>SUM(H19:H20)</f>
        <v>110</v>
      </c>
      <c r="I18" s="128">
        <f>SUM(I19:I20)</f>
        <v>28.41518</v>
      </c>
      <c r="J18" s="128">
        <f t="shared" si="1"/>
        <v>25.831981818181816</v>
      </c>
      <c r="K18" s="128"/>
      <c r="L18" s="128"/>
      <c r="M18" s="128"/>
      <c r="N18" s="128"/>
      <c r="O18" s="128"/>
      <c r="P18" s="128">
        <f t="shared" si="2"/>
        <v>110</v>
      </c>
      <c r="Q18" s="128">
        <f t="shared" si="3"/>
        <v>28.41518</v>
      </c>
      <c r="R18" s="128">
        <f>Q18-P18</f>
        <v>-81.58482000000001</v>
      </c>
      <c r="S18" s="128">
        <f t="shared" si="4"/>
        <v>25.831981818181816</v>
      </c>
      <c r="T18" s="14">
        <f>T20</f>
        <v>0</v>
      </c>
    </row>
    <row r="19" spans="2:20" s="39" customFormat="1" ht="2.25" customHeight="1" hidden="1">
      <c r="B19" s="39">
        <v>2</v>
      </c>
      <c r="C19" s="35" t="s">
        <v>268</v>
      </c>
      <c r="D19" s="35" t="s">
        <v>449</v>
      </c>
      <c r="E19" s="35" t="s">
        <v>443</v>
      </c>
      <c r="F19" s="36" t="s">
        <v>13</v>
      </c>
      <c r="G19" s="45" t="s">
        <v>269</v>
      </c>
      <c r="H19" s="130"/>
      <c r="I19" s="130"/>
      <c r="J19" s="128" t="e">
        <f t="shared" si="1"/>
        <v>#DIV/0!</v>
      </c>
      <c r="K19" s="130"/>
      <c r="L19" s="130"/>
      <c r="M19" s="130"/>
      <c r="N19" s="130"/>
      <c r="O19" s="130"/>
      <c r="P19" s="128">
        <f t="shared" si="2"/>
        <v>0</v>
      </c>
      <c r="Q19" s="128">
        <f t="shared" si="3"/>
        <v>0</v>
      </c>
      <c r="R19" s="128">
        <f aca="true" t="shared" si="5" ref="R19:R26">Q19-P19</f>
        <v>0</v>
      </c>
      <c r="S19" s="128" t="e">
        <f t="shared" si="4"/>
        <v>#DIV/0!</v>
      </c>
      <c r="T19" s="38"/>
    </row>
    <row r="20" spans="3:20" s="39" customFormat="1" ht="116.25" customHeight="1">
      <c r="C20" s="35" t="s">
        <v>136</v>
      </c>
      <c r="D20" s="35" t="s">
        <v>442</v>
      </c>
      <c r="E20" s="35" t="s">
        <v>443</v>
      </c>
      <c r="F20" s="36" t="s">
        <v>198</v>
      </c>
      <c r="G20" s="37" t="s">
        <v>438</v>
      </c>
      <c r="H20" s="130">
        <v>110</v>
      </c>
      <c r="I20" s="130">
        <v>28.41518</v>
      </c>
      <c r="J20" s="128">
        <f t="shared" si="1"/>
        <v>25.831981818181816</v>
      </c>
      <c r="K20" s="130"/>
      <c r="L20" s="130"/>
      <c r="M20" s="130"/>
      <c r="N20" s="130"/>
      <c r="O20" s="140"/>
      <c r="P20" s="128">
        <f t="shared" si="2"/>
        <v>110</v>
      </c>
      <c r="Q20" s="128">
        <f t="shared" si="3"/>
        <v>28.41518</v>
      </c>
      <c r="R20" s="128">
        <f>Q20-P20</f>
        <v>-81.58482000000001</v>
      </c>
      <c r="S20" s="128">
        <f t="shared" si="4"/>
        <v>25.831981818181816</v>
      </c>
      <c r="T20" s="38"/>
    </row>
    <row r="21" spans="3:20" s="7" customFormat="1" ht="2.25" customHeight="1" hidden="1">
      <c r="C21" s="32" t="s">
        <v>403</v>
      </c>
      <c r="D21" s="32" t="s">
        <v>447</v>
      </c>
      <c r="E21" s="32" t="s">
        <v>448</v>
      </c>
      <c r="F21" s="5" t="s">
        <v>43</v>
      </c>
      <c r="G21" s="42" t="s">
        <v>404</v>
      </c>
      <c r="H21" s="128"/>
      <c r="I21" s="128"/>
      <c r="J21" s="128" t="e">
        <f t="shared" si="1"/>
        <v>#DIV/0!</v>
      </c>
      <c r="K21" s="128"/>
      <c r="L21" s="128">
        <f>SUM(L22:L22)</f>
        <v>0</v>
      </c>
      <c r="M21" s="128"/>
      <c r="N21" s="128"/>
      <c r="O21" s="128">
        <f>SUM(O22:O22)</f>
        <v>0</v>
      </c>
      <c r="P21" s="128">
        <f t="shared" si="2"/>
        <v>0</v>
      </c>
      <c r="Q21" s="128">
        <f t="shared" si="3"/>
        <v>0</v>
      </c>
      <c r="R21" s="128">
        <f t="shared" si="5"/>
        <v>0</v>
      </c>
      <c r="S21" s="128" t="e">
        <f t="shared" si="4"/>
        <v>#DIV/0!</v>
      </c>
      <c r="T21" s="14">
        <f>SUM(T22:T22)</f>
        <v>0</v>
      </c>
    </row>
    <row r="22" spans="3:20" s="7" customFormat="1" ht="2.25" customHeight="1" hidden="1">
      <c r="C22" s="32"/>
      <c r="D22" s="32"/>
      <c r="E22" s="32"/>
      <c r="F22" s="5"/>
      <c r="G22" s="52" t="s">
        <v>405</v>
      </c>
      <c r="H22" s="128"/>
      <c r="I22" s="128"/>
      <c r="J22" s="128" t="e">
        <f t="shared" si="1"/>
        <v>#DIV/0!</v>
      </c>
      <c r="K22" s="128"/>
      <c r="L22" s="128"/>
      <c r="M22" s="128"/>
      <c r="N22" s="128"/>
      <c r="O22" s="185"/>
      <c r="P22" s="128">
        <f t="shared" si="2"/>
        <v>0</v>
      </c>
      <c r="Q22" s="128">
        <f t="shared" si="3"/>
        <v>0</v>
      </c>
      <c r="R22" s="128">
        <f t="shared" si="5"/>
        <v>0</v>
      </c>
      <c r="S22" s="128" t="e">
        <f t="shared" si="4"/>
        <v>#DIV/0!</v>
      </c>
      <c r="T22" s="14"/>
    </row>
    <row r="23" spans="2:20" s="18" customFormat="1" ht="2.25" customHeight="1" hidden="1">
      <c r="B23" s="18">
        <v>5</v>
      </c>
      <c r="C23" s="32" t="s">
        <v>36</v>
      </c>
      <c r="D23" s="32" t="s">
        <v>451</v>
      </c>
      <c r="E23" s="32" t="s">
        <v>452</v>
      </c>
      <c r="F23" s="5"/>
      <c r="G23" s="41" t="s">
        <v>39</v>
      </c>
      <c r="H23" s="128"/>
      <c r="I23" s="128"/>
      <c r="J23" s="128" t="e">
        <f t="shared" si="1"/>
        <v>#DIV/0!</v>
      </c>
      <c r="K23" s="128"/>
      <c r="L23" s="128"/>
      <c r="M23" s="128"/>
      <c r="N23" s="128"/>
      <c r="O23" s="128">
        <f>O24</f>
        <v>0</v>
      </c>
      <c r="P23" s="128">
        <f t="shared" si="2"/>
        <v>0</v>
      </c>
      <c r="Q23" s="128">
        <f t="shared" si="3"/>
        <v>0</v>
      </c>
      <c r="R23" s="128">
        <f t="shared" si="5"/>
        <v>0</v>
      </c>
      <c r="S23" s="128" t="e">
        <f t="shared" si="4"/>
        <v>#DIV/0!</v>
      </c>
      <c r="T23" s="14">
        <f>T24</f>
        <v>0</v>
      </c>
    </row>
    <row r="24" spans="3:20" s="19" customFormat="1" ht="2.25" customHeight="1" hidden="1">
      <c r="C24" s="35" t="s">
        <v>35</v>
      </c>
      <c r="D24" s="35" t="s">
        <v>450</v>
      </c>
      <c r="E24" s="35" t="s">
        <v>452</v>
      </c>
      <c r="F24" s="36" t="s">
        <v>51</v>
      </c>
      <c r="G24" s="55" t="s">
        <v>453</v>
      </c>
      <c r="H24" s="130"/>
      <c r="I24" s="130"/>
      <c r="J24" s="128" t="e">
        <f t="shared" si="1"/>
        <v>#DIV/0!</v>
      </c>
      <c r="K24" s="130"/>
      <c r="L24" s="130"/>
      <c r="M24" s="130"/>
      <c r="N24" s="130"/>
      <c r="O24" s="130"/>
      <c r="P24" s="128">
        <f t="shared" si="2"/>
        <v>0</v>
      </c>
      <c r="Q24" s="128">
        <f t="shared" si="3"/>
        <v>0</v>
      </c>
      <c r="R24" s="128">
        <f t="shared" si="5"/>
        <v>0</v>
      </c>
      <c r="S24" s="128" t="e">
        <f t="shared" si="4"/>
        <v>#DIV/0!</v>
      </c>
      <c r="T24" s="49"/>
    </row>
    <row r="25" spans="3:20" s="18" customFormat="1" ht="2.25" customHeight="1" hidden="1">
      <c r="C25" s="32" t="s">
        <v>340</v>
      </c>
      <c r="D25" s="32" t="s">
        <v>454</v>
      </c>
      <c r="E25" s="32" t="s">
        <v>439</v>
      </c>
      <c r="F25" s="5" t="s">
        <v>286</v>
      </c>
      <c r="G25" s="41" t="s">
        <v>345</v>
      </c>
      <c r="H25" s="128">
        <f>I25+L25</f>
        <v>0</v>
      </c>
      <c r="I25" s="128"/>
      <c r="J25" s="128" t="e">
        <f t="shared" si="1"/>
        <v>#DIV/0!</v>
      </c>
      <c r="K25" s="128"/>
      <c r="L25" s="128"/>
      <c r="M25" s="131"/>
      <c r="N25" s="131"/>
      <c r="O25" s="128"/>
      <c r="P25" s="128">
        <f t="shared" si="2"/>
        <v>0</v>
      </c>
      <c r="Q25" s="128">
        <f t="shared" si="3"/>
        <v>0</v>
      </c>
      <c r="R25" s="128">
        <f t="shared" si="5"/>
        <v>0</v>
      </c>
      <c r="S25" s="128" t="e">
        <f t="shared" si="4"/>
        <v>#DIV/0!</v>
      </c>
      <c r="T25" s="14"/>
    </row>
    <row r="26" spans="3:20" s="7" customFormat="1" ht="2.25" customHeight="1" hidden="1">
      <c r="C26" s="32" t="s">
        <v>458</v>
      </c>
      <c r="D26" s="32" t="s">
        <v>459</v>
      </c>
      <c r="E26" s="32" t="s">
        <v>439</v>
      </c>
      <c r="F26" s="5" t="s">
        <v>10</v>
      </c>
      <c r="G26" s="33" t="s">
        <v>270</v>
      </c>
      <c r="H26" s="128">
        <f>I26+L26</f>
        <v>0</v>
      </c>
      <c r="I26" s="128"/>
      <c r="J26" s="128" t="e">
        <f t="shared" si="1"/>
        <v>#DIV/0!</v>
      </c>
      <c r="K26" s="128"/>
      <c r="L26" s="128"/>
      <c r="M26" s="128"/>
      <c r="N26" s="128"/>
      <c r="O26" s="128"/>
      <c r="P26" s="128">
        <f t="shared" si="2"/>
        <v>0</v>
      </c>
      <c r="Q26" s="128">
        <f t="shared" si="3"/>
        <v>0</v>
      </c>
      <c r="R26" s="128">
        <f t="shared" si="5"/>
        <v>0</v>
      </c>
      <c r="S26" s="128" t="e">
        <f t="shared" si="4"/>
        <v>#DIV/0!</v>
      </c>
      <c r="T26" s="14"/>
    </row>
    <row r="27" spans="1:20" s="7" customFormat="1" ht="36.75" customHeight="1">
      <c r="A27" s="50">
        <v>9</v>
      </c>
      <c r="B27" s="7">
        <v>6</v>
      </c>
      <c r="C27" s="32" t="s">
        <v>140</v>
      </c>
      <c r="D27" s="32" t="s">
        <v>455</v>
      </c>
      <c r="E27" s="32" t="s">
        <v>477</v>
      </c>
      <c r="F27" s="5" t="s">
        <v>206</v>
      </c>
      <c r="G27" s="43" t="s">
        <v>92</v>
      </c>
      <c r="H27" s="128">
        <f>SUM(H28:H29)</f>
        <v>149.6</v>
      </c>
      <c r="I27" s="128">
        <f>SUM(I28:I29)</f>
        <v>21.6126</v>
      </c>
      <c r="J27" s="128">
        <f t="shared" si="1"/>
        <v>14.44692513368984</v>
      </c>
      <c r="K27" s="128"/>
      <c r="L27" s="128">
        <f>SUM(L28:L29)</f>
        <v>0</v>
      </c>
      <c r="M27" s="128"/>
      <c r="N27" s="128"/>
      <c r="O27" s="128"/>
      <c r="P27" s="128">
        <f t="shared" si="2"/>
        <v>149.6</v>
      </c>
      <c r="Q27" s="128">
        <f t="shared" si="3"/>
        <v>21.6126</v>
      </c>
      <c r="R27" s="128">
        <f>Q27-P27</f>
        <v>-127.9874</v>
      </c>
      <c r="S27" s="128">
        <f t="shared" si="4"/>
        <v>14.44692513368984</v>
      </c>
      <c r="T27" s="14">
        <f>SUM(T28:T29)</f>
        <v>0</v>
      </c>
    </row>
    <row r="28" spans="3:20" s="39" customFormat="1" ht="36" customHeight="1">
      <c r="C28" s="35" t="s">
        <v>215</v>
      </c>
      <c r="D28" s="35" t="s">
        <v>456</v>
      </c>
      <c r="E28" s="32"/>
      <c r="F28" s="186"/>
      <c r="G28" s="37" t="s">
        <v>431</v>
      </c>
      <c r="H28" s="130">
        <v>134.6</v>
      </c>
      <c r="I28" s="130">
        <v>16.9126</v>
      </c>
      <c r="J28" s="128">
        <f t="shared" si="1"/>
        <v>12.56508172362556</v>
      </c>
      <c r="K28" s="130"/>
      <c r="L28" s="130"/>
      <c r="M28" s="130"/>
      <c r="N28" s="130"/>
      <c r="O28" s="140"/>
      <c r="P28" s="128">
        <f t="shared" si="2"/>
        <v>134.6</v>
      </c>
      <c r="Q28" s="128">
        <f t="shared" si="3"/>
        <v>16.9126</v>
      </c>
      <c r="R28" s="128">
        <f>Q28-P28</f>
        <v>-117.6874</v>
      </c>
      <c r="S28" s="128">
        <f t="shared" si="4"/>
        <v>12.56508172362556</v>
      </c>
      <c r="T28" s="38"/>
    </row>
    <row r="29" spans="3:21" s="7" customFormat="1" ht="46.5" customHeight="1">
      <c r="C29" s="35" t="s">
        <v>406</v>
      </c>
      <c r="D29" s="35" t="s">
        <v>457</v>
      </c>
      <c r="E29" s="32"/>
      <c r="F29" s="5"/>
      <c r="G29" s="37" t="s">
        <v>432</v>
      </c>
      <c r="H29" s="130">
        <v>15</v>
      </c>
      <c r="I29" s="130">
        <v>4.7</v>
      </c>
      <c r="J29" s="128">
        <f t="shared" si="1"/>
        <v>31.333333333333336</v>
      </c>
      <c r="K29" s="130"/>
      <c r="L29" s="130"/>
      <c r="M29" s="130"/>
      <c r="N29" s="130"/>
      <c r="O29" s="140"/>
      <c r="P29" s="128">
        <f t="shared" si="2"/>
        <v>15</v>
      </c>
      <c r="Q29" s="128">
        <f t="shared" si="3"/>
        <v>4.7</v>
      </c>
      <c r="R29" s="130">
        <f>Q29-P29</f>
        <v>-10.3</v>
      </c>
      <c r="S29" s="128">
        <f t="shared" si="4"/>
        <v>31.333333333333336</v>
      </c>
      <c r="T29" s="38"/>
      <c r="U29" s="22"/>
    </row>
    <row r="30" spans="3:23" s="7" customFormat="1" ht="31.5" customHeight="1">
      <c r="C30" s="32"/>
      <c r="D30" s="32"/>
      <c r="E30" s="32"/>
      <c r="F30" s="5"/>
      <c r="G30" s="48" t="s">
        <v>142</v>
      </c>
      <c r="H30" s="132">
        <f aca="true" t="shared" si="6" ref="H30:M30">H14+H18+H17+H23+H27+H26+H25+H21</f>
        <v>10787.9</v>
      </c>
      <c r="I30" s="132">
        <f>I14+I18+I17+I23+I27+I26+I25+I21</f>
        <v>2198.67898</v>
      </c>
      <c r="J30" s="132">
        <f t="shared" si="1"/>
        <v>20.38097294190714</v>
      </c>
      <c r="K30" s="132">
        <f t="shared" si="6"/>
        <v>896.5</v>
      </c>
      <c r="L30" s="132">
        <f t="shared" si="6"/>
        <v>0</v>
      </c>
      <c r="M30" s="132">
        <f t="shared" si="6"/>
        <v>0</v>
      </c>
      <c r="N30" s="132">
        <v>0</v>
      </c>
      <c r="O30" s="132">
        <f>M30/K30*100</f>
        <v>0</v>
      </c>
      <c r="P30" s="132">
        <f t="shared" si="2"/>
        <v>11684.4</v>
      </c>
      <c r="Q30" s="132">
        <f t="shared" si="3"/>
        <v>2198.67898</v>
      </c>
      <c r="R30" s="132">
        <f>R14+R17+R18+R27</f>
        <v>-9485.721019999999</v>
      </c>
      <c r="S30" s="132">
        <f t="shared" si="4"/>
        <v>18.81721765773168</v>
      </c>
      <c r="T30" s="63">
        <f>T14+T18+T17+T23+T27+T26+T25+T21</f>
        <v>886</v>
      </c>
      <c r="U30" s="22"/>
      <c r="V30" s="22"/>
      <c r="W30" s="22"/>
    </row>
    <row r="31" spans="3:21" s="7" customFormat="1" ht="45.75" customHeight="1">
      <c r="C31" s="30" t="s">
        <v>144</v>
      </c>
      <c r="D31" s="30"/>
      <c r="E31" s="30"/>
      <c r="F31" s="187" t="s">
        <v>49</v>
      </c>
      <c r="G31" s="31" t="s">
        <v>415</v>
      </c>
      <c r="H31" s="128"/>
      <c r="I31" s="128"/>
      <c r="J31" s="128"/>
      <c r="K31" s="128"/>
      <c r="L31" s="128"/>
      <c r="M31" s="128"/>
      <c r="N31" s="128"/>
      <c r="O31" s="128"/>
      <c r="P31" s="128"/>
      <c r="Q31" s="128"/>
      <c r="R31" s="128"/>
      <c r="S31" s="128"/>
      <c r="T31" s="14"/>
      <c r="U31" s="22"/>
    </row>
    <row r="32" spans="3:20" s="7" customFormat="1" ht="45.75" customHeight="1">
      <c r="C32" s="119" t="s">
        <v>145</v>
      </c>
      <c r="D32" s="30"/>
      <c r="E32" s="30"/>
      <c r="F32" s="187" t="s">
        <v>49</v>
      </c>
      <c r="G32" s="31" t="s">
        <v>414</v>
      </c>
      <c r="H32" s="128"/>
      <c r="I32" s="128"/>
      <c r="J32" s="128"/>
      <c r="K32" s="128"/>
      <c r="L32" s="128"/>
      <c r="M32" s="128"/>
      <c r="N32" s="128"/>
      <c r="O32" s="128"/>
      <c r="P32" s="128"/>
      <c r="Q32" s="128"/>
      <c r="R32" s="128"/>
      <c r="S32" s="128"/>
      <c r="T32" s="14"/>
    </row>
    <row r="33" spans="1:20" s="7" customFormat="1" ht="81.75" customHeight="1">
      <c r="A33" s="7">
        <v>2</v>
      </c>
      <c r="B33" s="7">
        <v>7</v>
      </c>
      <c r="C33" s="32" t="s">
        <v>304</v>
      </c>
      <c r="D33" s="32" t="s">
        <v>439</v>
      </c>
      <c r="E33" s="32" t="s">
        <v>440</v>
      </c>
      <c r="F33" s="5" t="s">
        <v>205</v>
      </c>
      <c r="G33" s="43" t="s">
        <v>623</v>
      </c>
      <c r="H33" s="129">
        <v>1396.6</v>
      </c>
      <c r="I33" s="129">
        <v>322.273</v>
      </c>
      <c r="J33" s="129">
        <f>I33/H33*100</f>
        <v>23.075540598596593</v>
      </c>
      <c r="K33" s="129"/>
      <c r="L33" s="129"/>
      <c r="M33" s="131"/>
      <c r="N33" s="131"/>
      <c r="O33" s="129"/>
      <c r="P33" s="129">
        <f>H33+K33</f>
        <v>1396.6</v>
      </c>
      <c r="Q33" s="129">
        <f>I33+M33</f>
        <v>322.273</v>
      </c>
      <c r="R33" s="128">
        <f>Q33-P33</f>
        <v>-1074.3269999999998</v>
      </c>
      <c r="S33" s="129">
        <f>Q33/P33*100</f>
        <v>23.075540598596593</v>
      </c>
      <c r="T33" s="34"/>
    </row>
    <row r="34" spans="3:20" s="7" customFormat="1" ht="33.75" customHeight="1">
      <c r="C34" s="32" t="s">
        <v>53</v>
      </c>
      <c r="D34" s="32" t="s">
        <v>460</v>
      </c>
      <c r="E34" s="32" t="s">
        <v>461</v>
      </c>
      <c r="F34" s="5" t="s">
        <v>237</v>
      </c>
      <c r="G34" s="33" t="s">
        <v>190</v>
      </c>
      <c r="H34" s="129">
        <f>SUM(H35:H36)</f>
        <v>41201.208</v>
      </c>
      <c r="I34" s="129">
        <f>SUM(I35:I36)</f>
        <v>9511.41867</v>
      </c>
      <c r="J34" s="129">
        <f aca="true" t="shared" si="7" ref="J34:J63">I34/H34*100</f>
        <v>23.085290775940354</v>
      </c>
      <c r="K34" s="129">
        <f>K35</f>
        <v>3644.2888199999998</v>
      </c>
      <c r="L34" s="129">
        <f>L35</f>
        <v>0</v>
      </c>
      <c r="M34" s="129">
        <f>M35</f>
        <v>1017.72153</v>
      </c>
      <c r="N34" s="130">
        <v>0</v>
      </c>
      <c r="O34" s="129">
        <f>M34/K34*100</f>
        <v>27.926478395858865</v>
      </c>
      <c r="P34" s="129">
        <f aca="true" t="shared" si="8" ref="P34:P55">H34+K34</f>
        <v>44845.49682</v>
      </c>
      <c r="Q34" s="129">
        <f aca="true" t="shared" si="9" ref="Q34:Q54">I34+M34</f>
        <v>10529.1402</v>
      </c>
      <c r="R34" s="128">
        <f aca="true" t="shared" si="10" ref="R34:R55">Q34-P34</f>
        <v>-34316.35662</v>
      </c>
      <c r="S34" s="129">
        <f aca="true" t="shared" si="11" ref="S34:S55">Q34/P34*100</f>
        <v>23.47870119994804</v>
      </c>
      <c r="T34" s="188">
        <f>SUM(T35:T36)</f>
        <v>0</v>
      </c>
    </row>
    <row r="35" spans="1:20" s="39" customFormat="1" ht="26.25" customHeight="1">
      <c r="A35" s="39">
        <v>1</v>
      </c>
      <c r="B35" s="39">
        <v>8</v>
      </c>
      <c r="C35" s="35"/>
      <c r="D35" s="35"/>
      <c r="E35" s="35"/>
      <c r="F35" s="36"/>
      <c r="G35" s="45" t="s">
        <v>408</v>
      </c>
      <c r="H35" s="133">
        <v>41201.208</v>
      </c>
      <c r="I35" s="134">
        <v>9511.41867</v>
      </c>
      <c r="J35" s="129">
        <f t="shared" si="7"/>
        <v>23.085290775940354</v>
      </c>
      <c r="K35" s="129">
        <f>3490.4777+153.81112</f>
        <v>3644.2888199999998</v>
      </c>
      <c r="L35" s="130"/>
      <c r="M35" s="130">
        <v>1017.72153</v>
      </c>
      <c r="N35" s="130">
        <v>0</v>
      </c>
      <c r="O35" s="129">
        <f aca="true" t="shared" si="12" ref="O35:O45">M35/K35*100</f>
        <v>27.926478395858865</v>
      </c>
      <c r="P35" s="129">
        <f t="shared" si="8"/>
        <v>44845.49682</v>
      </c>
      <c r="Q35" s="129">
        <f t="shared" si="9"/>
        <v>10529.1402</v>
      </c>
      <c r="R35" s="128">
        <f t="shared" si="10"/>
        <v>-34316.35662</v>
      </c>
      <c r="S35" s="129">
        <f t="shared" si="11"/>
        <v>23.47870119994804</v>
      </c>
      <c r="T35" s="56"/>
    </row>
    <row r="36" spans="3:20" s="39" customFormat="1" ht="2.25" customHeight="1" hidden="1">
      <c r="C36" s="35"/>
      <c r="D36" s="35"/>
      <c r="E36" s="35"/>
      <c r="F36" s="36"/>
      <c r="G36" s="45" t="s">
        <v>409</v>
      </c>
      <c r="H36" s="133">
        <f aca="true" t="shared" si="13" ref="H36:H46">I36+L36</f>
        <v>0</v>
      </c>
      <c r="I36" s="134"/>
      <c r="J36" s="129" t="e">
        <f t="shared" si="7"/>
        <v>#DIV/0!</v>
      </c>
      <c r="K36" s="130"/>
      <c r="L36" s="130"/>
      <c r="M36" s="130"/>
      <c r="N36" s="130"/>
      <c r="O36" s="129" t="e">
        <f t="shared" si="12"/>
        <v>#DIV/0!</v>
      </c>
      <c r="P36" s="129">
        <f t="shared" si="8"/>
        <v>0</v>
      </c>
      <c r="Q36" s="129">
        <f t="shared" si="9"/>
        <v>0</v>
      </c>
      <c r="R36" s="128">
        <f t="shared" si="10"/>
        <v>0</v>
      </c>
      <c r="S36" s="129" t="e">
        <f t="shared" si="11"/>
        <v>#DIV/0!</v>
      </c>
      <c r="T36" s="56"/>
    </row>
    <row r="37" spans="1:20" s="18" customFormat="1" ht="99.75" customHeight="1">
      <c r="A37" s="18">
        <v>2</v>
      </c>
      <c r="B37" s="18">
        <v>9</v>
      </c>
      <c r="C37" s="32" t="s">
        <v>54</v>
      </c>
      <c r="D37" s="32" t="s">
        <v>463</v>
      </c>
      <c r="E37" s="32" t="s">
        <v>464</v>
      </c>
      <c r="F37" s="5" t="s">
        <v>238</v>
      </c>
      <c r="G37" s="43" t="s">
        <v>462</v>
      </c>
      <c r="H37" s="128">
        <f>H38+H41+H43</f>
        <v>60863.24499000001</v>
      </c>
      <c r="I37" s="128">
        <f>I38+I41+I43</f>
        <v>14598.814300000002</v>
      </c>
      <c r="J37" s="129">
        <f t="shared" si="7"/>
        <v>23.98625689839348</v>
      </c>
      <c r="K37" s="128">
        <f>K38+K41+K43</f>
        <v>2247.1304</v>
      </c>
      <c r="L37" s="128">
        <f>L38+L41+L43</f>
        <v>0</v>
      </c>
      <c r="M37" s="128">
        <f>M38+M41+M43</f>
        <v>632.50394</v>
      </c>
      <c r="N37" s="128">
        <f>N38+N41+N43</f>
        <v>0</v>
      </c>
      <c r="O37" s="129">
        <f t="shared" si="12"/>
        <v>28.147184515860758</v>
      </c>
      <c r="P37" s="129">
        <f t="shared" si="8"/>
        <v>63110.37539000001</v>
      </c>
      <c r="Q37" s="129">
        <f t="shared" si="9"/>
        <v>15231.318240000002</v>
      </c>
      <c r="R37" s="128">
        <f t="shared" si="10"/>
        <v>-47879.05715000001</v>
      </c>
      <c r="S37" s="129">
        <f t="shared" si="11"/>
        <v>24.134412362271327</v>
      </c>
      <c r="T37" s="14">
        <f>SUM(T38:T43)</f>
        <v>96.49</v>
      </c>
    </row>
    <row r="38" spans="3:20" s="19" customFormat="1" ht="33" customHeight="1">
      <c r="C38" s="35"/>
      <c r="D38" s="35"/>
      <c r="E38" s="35"/>
      <c r="F38" s="36"/>
      <c r="G38" s="37" t="s">
        <v>299</v>
      </c>
      <c r="H38" s="130">
        <v>38849.8</v>
      </c>
      <c r="I38" s="130">
        <v>8971.2</v>
      </c>
      <c r="J38" s="129">
        <f t="shared" si="7"/>
        <v>23.09201076968221</v>
      </c>
      <c r="K38" s="130"/>
      <c r="L38" s="130"/>
      <c r="M38" s="128"/>
      <c r="N38" s="128"/>
      <c r="O38" s="129"/>
      <c r="P38" s="129">
        <f t="shared" si="8"/>
        <v>38849.8</v>
      </c>
      <c r="Q38" s="129">
        <f t="shared" si="9"/>
        <v>8971.2</v>
      </c>
      <c r="R38" s="128">
        <f t="shared" si="10"/>
        <v>-29878.600000000002</v>
      </c>
      <c r="S38" s="129">
        <f t="shared" si="11"/>
        <v>23.09201076968221</v>
      </c>
      <c r="T38" s="38"/>
    </row>
    <row r="39" spans="3:20" s="19" customFormat="1" ht="2.25" customHeight="1" hidden="1">
      <c r="C39" s="35"/>
      <c r="D39" s="35"/>
      <c r="E39" s="35"/>
      <c r="F39" s="36"/>
      <c r="G39" s="37" t="s">
        <v>375</v>
      </c>
      <c r="H39" s="130">
        <f t="shared" si="13"/>
        <v>0</v>
      </c>
      <c r="I39" s="130"/>
      <c r="J39" s="129" t="e">
        <f t="shared" si="7"/>
        <v>#DIV/0!</v>
      </c>
      <c r="K39" s="130"/>
      <c r="L39" s="130"/>
      <c r="M39" s="128"/>
      <c r="N39" s="128"/>
      <c r="O39" s="129" t="e">
        <f t="shared" si="12"/>
        <v>#DIV/0!</v>
      </c>
      <c r="P39" s="129">
        <f t="shared" si="8"/>
        <v>0</v>
      </c>
      <c r="Q39" s="129">
        <f t="shared" si="9"/>
        <v>0</v>
      </c>
      <c r="R39" s="128">
        <f t="shared" si="10"/>
        <v>0</v>
      </c>
      <c r="S39" s="129" t="e">
        <f t="shared" si="11"/>
        <v>#DIV/0!</v>
      </c>
      <c r="T39" s="56"/>
    </row>
    <row r="40" spans="3:20" s="19" customFormat="1" ht="2.25" customHeight="1" hidden="1">
      <c r="C40" s="35"/>
      <c r="D40" s="35"/>
      <c r="E40" s="35"/>
      <c r="F40" s="36"/>
      <c r="G40" s="37" t="s">
        <v>343</v>
      </c>
      <c r="H40" s="130">
        <f t="shared" si="13"/>
        <v>0</v>
      </c>
      <c r="I40" s="130"/>
      <c r="J40" s="129" t="e">
        <f t="shared" si="7"/>
        <v>#DIV/0!</v>
      </c>
      <c r="K40" s="130"/>
      <c r="L40" s="130"/>
      <c r="M40" s="128"/>
      <c r="N40" s="128"/>
      <c r="O40" s="129" t="e">
        <f t="shared" si="12"/>
        <v>#DIV/0!</v>
      </c>
      <c r="P40" s="129">
        <f t="shared" si="8"/>
        <v>0</v>
      </c>
      <c r="Q40" s="129">
        <f t="shared" si="9"/>
        <v>0</v>
      </c>
      <c r="R40" s="128">
        <f t="shared" si="10"/>
        <v>0</v>
      </c>
      <c r="S40" s="129" t="e">
        <f t="shared" si="11"/>
        <v>#DIV/0!</v>
      </c>
      <c r="T40" s="56"/>
    </row>
    <row r="41" spans="3:20" s="19" customFormat="1" ht="72" customHeight="1">
      <c r="C41" s="35"/>
      <c r="D41" s="35"/>
      <c r="E41" s="35"/>
      <c r="F41" s="36"/>
      <c r="G41" s="37" t="s">
        <v>378</v>
      </c>
      <c r="H41" s="130">
        <v>0.31399</v>
      </c>
      <c r="I41" s="130">
        <v>0</v>
      </c>
      <c r="J41" s="129">
        <f t="shared" si="7"/>
        <v>0</v>
      </c>
      <c r="K41" s="130"/>
      <c r="L41" s="130"/>
      <c r="M41" s="128"/>
      <c r="N41" s="128"/>
      <c r="O41" s="129"/>
      <c r="P41" s="129">
        <f t="shared" si="8"/>
        <v>0.31399</v>
      </c>
      <c r="Q41" s="129">
        <f t="shared" si="9"/>
        <v>0</v>
      </c>
      <c r="R41" s="128">
        <f t="shared" si="10"/>
        <v>-0.31399</v>
      </c>
      <c r="S41" s="129">
        <f t="shared" si="11"/>
        <v>0</v>
      </c>
      <c r="T41" s="56"/>
    </row>
    <row r="42" spans="3:20" s="19" customFormat="1" ht="2.25" customHeight="1" hidden="1">
      <c r="C42" s="35"/>
      <c r="D42" s="35"/>
      <c r="E42" s="35"/>
      <c r="F42" s="36"/>
      <c r="G42" s="37" t="s">
        <v>407</v>
      </c>
      <c r="H42" s="130">
        <f t="shared" si="13"/>
        <v>0</v>
      </c>
      <c r="I42" s="130"/>
      <c r="J42" s="129" t="e">
        <f t="shared" si="7"/>
        <v>#DIV/0!</v>
      </c>
      <c r="K42" s="130"/>
      <c r="L42" s="130"/>
      <c r="M42" s="128"/>
      <c r="N42" s="128"/>
      <c r="O42" s="129" t="e">
        <f t="shared" si="12"/>
        <v>#DIV/0!</v>
      </c>
      <c r="P42" s="129">
        <f t="shared" si="8"/>
        <v>0</v>
      </c>
      <c r="Q42" s="129">
        <f t="shared" si="9"/>
        <v>0</v>
      </c>
      <c r="R42" s="128">
        <f t="shared" si="10"/>
        <v>0</v>
      </c>
      <c r="S42" s="129" t="e">
        <f t="shared" si="11"/>
        <v>#DIV/0!</v>
      </c>
      <c r="T42" s="56"/>
    </row>
    <row r="43" spans="3:20" s="19" customFormat="1" ht="27.75" customHeight="1">
      <c r="C43" s="35"/>
      <c r="D43" s="35"/>
      <c r="E43" s="35"/>
      <c r="F43" s="36"/>
      <c r="G43" s="37" t="s">
        <v>339</v>
      </c>
      <c r="H43" s="130">
        <v>22013.131</v>
      </c>
      <c r="I43" s="130">
        <v>5627.6143</v>
      </c>
      <c r="J43" s="129">
        <f t="shared" si="7"/>
        <v>25.564806296750785</v>
      </c>
      <c r="K43" s="130">
        <f>2115.94995+34.69045+96.49</f>
        <v>2247.1304</v>
      </c>
      <c r="L43" s="130"/>
      <c r="M43" s="128">
        <f>598.97916+33.52478</f>
        <v>632.50394</v>
      </c>
      <c r="N43" s="128">
        <v>0</v>
      </c>
      <c r="O43" s="129">
        <f t="shared" si="12"/>
        <v>28.147184515860758</v>
      </c>
      <c r="P43" s="129">
        <f t="shared" si="8"/>
        <v>24260.261400000003</v>
      </c>
      <c r="Q43" s="129">
        <f t="shared" si="9"/>
        <v>6260.11824</v>
      </c>
      <c r="R43" s="128">
        <f t="shared" si="10"/>
        <v>-18000.143160000003</v>
      </c>
      <c r="S43" s="129">
        <f t="shared" si="11"/>
        <v>25.8040016007412</v>
      </c>
      <c r="T43" s="92">
        <f>120-23.51</f>
        <v>96.49</v>
      </c>
    </row>
    <row r="44" spans="3:20" s="19" customFormat="1" ht="2.25" customHeight="1" hidden="1">
      <c r="C44" s="35"/>
      <c r="D44" s="35"/>
      <c r="E44" s="35"/>
      <c r="F44" s="36"/>
      <c r="G44" s="37" t="s">
        <v>300</v>
      </c>
      <c r="H44" s="130"/>
      <c r="I44" s="130"/>
      <c r="J44" s="129" t="e">
        <f t="shared" si="7"/>
        <v>#DIV/0!</v>
      </c>
      <c r="K44" s="130"/>
      <c r="L44" s="130"/>
      <c r="M44" s="128"/>
      <c r="N44" s="128"/>
      <c r="O44" s="129" t="e">
        <f t="shared" si="12"/>
        <v>#DIV/0!</v>
      </c>
      <c r="P44" s="129">
        <f t="shared" si="8"/>
        <v>0</v>
      </c>
      <c r="Q44" s="129">
        <f t="shared" si="9"/>
        <v>0</v>
      </c>
      <c r="R44" s="128">
        <f t="shared" si="10"/>
        <v>0</v>
      </c>
      <c r="S44" s="129" t="e">
        <f t="shared" si="11"/>
        <v>#DIV/0!</v>
      </c>
      <c r="T44" s="56"/>
    </row>
    <row r="45" spans="1:20" s="7" customFormat="1" ht="49.5" customHeight="1">
      <c r="A45" s="7">
        <v>3</v>
      </c>
      <c r="B45" s="7">
        <v>10</v>
      </c>
      <c r="C45" s="5" t="s">
        <v>271</v>
      </c>
      <c r="D45" s="5" t="s">
        <v>465</v>
      </c>
      <c r="E45" s="5" t="s">
        <v>466</v>
      </c>
      <c r="F45" s="5" t="s">
        <v>239</v>
      </c>
      <c r="G45" s="43" t="s">
        <v>55</v>
      </c>
      <c r="H45" s="128">
        <v>6168.615</v>
      </c>
      <c r="I45" s="135">
        <v>1352.68272</v>
      </c>
      <c r="J45" s="129">
        <f t="shared" si="7"/>
        <v>21.928467249131288</v>
      </c>
      <c r="K45" s="128">
        <f>11.147+7.60345</f>
        <v>18.75045</v>
      </c>
      <c r="L45" s="128"/>
      <c r="M45" s="128">
        <f>0.012+7.60345</f>
        <v>7.615449999999999</v>
      </c>
      <c r="N45" s="128">
        <v>0</v>
      </c>
      <c r="O45" s="129">
        <f t="shared" si="12"/>
        <v>40.61475857912743</v>
      </c>
      <c r="P45" s="129">
        <f t="shared" si="8"/>
        <v>6187.365449999999</v>
      </c>
      <c r="Q45" s="129">
        <f t="shared" si="9"/>
        <v>1360.29817</v>
      </c>
      <c r="R45" s="128">
        <f t="shared" si="10"/>
        <v>-4827.067279999999</v>
      </c>
      <c r="S45" s="129">
        <f t="shared" si="11"/>
        <v>21.985094964772127</v>
      </c>
      <c r="T45" s="34"/>
    </row>
    <row r="46" spans="3:21" s="7" customFormat="1" ht="2.25" customHeight="1" hidden="1">
      <c r="C46" s="5" t="s">
        <v>329</v>
      </c>
      <c r="D46" s="5"/>
      <c r="E46" s="5"/>
      <c r="F46" s="5" t="s">
        <v>326</v>
      </c>
      <c r="G46" s="43" t="s">
        <v>330</v>
      </c>
      <c r="H46" s="128">
        <f t="shared" si="13"/>
        <v>0</v>
      </c>
      <c r="I46" s="135"/>
      <c r="J46" s="129" t="e">
        <f t="shared" si="7"/>
        <v>#DIV/0!</v>
      </c>
      <c r="K46" s="128"/>
      <c r="L46" s="128"/>
      <c r="M46" s="128"/>
      <c r="N46" s="128"/>
      <c r="O46" s="129"/>
      <c r="P46" s="129">
        <f t="shared" si="8"/>
        <v>0</v>
      </c>
      <c r="Q46" s="129">
        <f t="shared" si="9"/>
        <v>0</v>
      </c>
      <c r="R46" s="128">
        <f t="shared" si="10"/>
        <v>0</v>
      </c>
      <c r="S46" s="129" t="e">
        <f t="shared" si="11"/>
        <v>#DIV/0!</v>
      </c>
      <c r="T46" s="34"/>
      <c r="U46" s="22"/>
    </row>
    <row r="47" spans="1:20" s="7" customFormat="1" ht="46.5" customHeight="1">
      <c r="A47" s="7">
        <v>4</v>
      </c>
      <c r="B47" s="7">
        <v>11</v>
      </c>
      <c r="C47" s="32">
        <v>1011170</v>
      </c>
      <c r="D47" s="32" t="s">
        <v>467</v>
      </c>
      <c r="E47" s="32" t="s">
        <v>468</v>
      </c>
      <c r="F47" s="5" t="s">
        <v>240</v>
      </c>
      <c r="G47" s="43" t="s">
        <v>56</v>
      </c>
      <c r="H47" s="128">
        <v>1394.095</v>
      </c>
      <c r="I47" s="128">
        <v>301.49758</v>
      </c>
      <c r="J47" s="129">
        <f t="shared" si="7"/>
        <v>21.62676001276814</v>
      </c>
      <c r="K47" s="128"/>
      <c r="L47" s="128"/>
      <c r="M47" s="128"/>
      <c r="N47" s="128"/>
      <c r="O47" s="129"/>
      <c r="P47" s="129">
        <f t="shared" si="8"/>
        <v>1394.095</v>
      </c>
      <c r="Q47" s="129">
        <f t="shared" si="9"/>
        <v>301.49758</v>
      </c>
      <c r="R47" s="128">
        <f t="shared" si="10"/>
        <v>-1092.59742</v>
      </c>
      <c r="S47" s="129">
        <f t="shared" si="11"/>
        <v>21.62676001276814</v>
      </c>
      <c r="T47" s="34"/>
    </row>
    <row r="48" spans="1:20" s="7" customFormat="1" ht="32.25" customHeight="1">
      <c r="A48" s="7">
        <v>5</v>
      </c>
      <c r="B48" s="7">
        <v>12</v>
      </c>
      <c r="C48" s="32">
        <v>1011190</v>
      </c>
      <c r="D48" s="32" t="s">
        <v>469</v>
      </c>
      <c r="E48" s="32" t="s">
        <v>468</v>
      </c>
      <c r="F48" s="5" t="s">
        <v>241</v>
      </c>
      <c r="G48" s="43" t="s">
        <v>57</v>
      </c>
      <c r="H48" s="135">
        <v>2287.796</v>
      </c>
      <c r="I48" s="135">
        <v>500.52489</v>
      </c>
      <c r="J48" s="129">
        <f t="shared" si="7"/>
        <v>21.87803851392345</v>
      </c>
      <c r="K48" s="128"/>
      <c r="L48" s="128"/>
      <c r="M48" s="128"/>
      <c r="N48" s="128"/>
      <c r="O48" s="129"/>
      <c r="P48" s="129">
        <f t="shared" si="8"/>
        <v>2287.796</v>
      </c>
      <c r="Q48" s="129">
        <f t="shared" si="9"/>
        <v>500.52489</v>
      </c>
      <c r="R48" s="128">
        <f t="shared" si="10"/>
        <v>-1787.2711099999997</v>
      </c>
      <c r="S48" s="129">
        <f t="shared" si="11"/>
        <v>21.87803851392345</v>
      </c>
      <c r="T48" s="34"/>
    </row>
    <row r="49" spans="1:20" s="7" customFormat="1" ht="42.75" customHeight="1">
      <c r="A49" s="7">
        <v>6</v>
      </c>
      <c r="B49" s="7">
        <v>13</v>
      </c>
      <c r="C49" s="32">
        <v>1011200</v>
      </c>
      <c r="D49" s="32" t="s">
        <v>470</v>
      </c>
      <c r="E49" s="32" t="s">
        <v>468</v>
      </c>
      <c r="F49" s="5" t="s">
        <v>242</v>
      </c>
      <c r="G49" s="43" t="s">
        <v>188</v>
      </c>
      <c r="H49" s="135">
        <f>1750.087+30</f>
        <v>1780.087</v>
      </c>
      <c r="I49" s="135">
        <v>389.82765</v>
      </c>
      <c r="J49" s="129">
        <f t="shared" si="7"/>
        <v>21.899359413332046</v>
      </c>
      <c r="K49" s="128">
        <f>3.6</f>
        <v>3.6</v>
      </c>
      <c r="L49" s="128"/>
      <c r="M49" s="128">
        <v>3.6</v>
      </c>
      <c r="N49" s="128">
        <v>0</v>
      </c>
      <c r="O49" s="129">
        <f>M49/K49*100</f>
        <v>100</v>
      </c>
      <c r="P49" s="129">
        <f t="shared" si="8"/>
        <v>1783.687</v>
      </c>
      <c r="Q49" s="129">
        <f t="shared" si="9"/>
        <v>393.42765</v>
      </c>
      <c r="R49" s="128">
        <f t="shared" si="10"/>
        <v>-1390.2593499999998</v>
      </c>
      <c r="S49" s="129">
        <f t="shared" si="11"/>
        <v>22.056989258765693</v>
      </c>
      <c r="T49" s="92"/>
    </row>
    <row r="50" spans="1:20" s="7" customFormat="1" ht="32.25" customHeight="1">
      <c r="A50" s="7">
        <v>7</v>
      </c>
      <c r="B50" s="7">
        <v>14</v>
      </c>
      <c r="C50" s="32">
        <v>1011210</v>
      </c>
      <c r="D50" s="32" t="s">
        <v>471</v>
      </c>
      <c r="E50" s="32" t="s">
        <v>468</v>
      </c>
      <c r="F50" s="5" t="s">
        <v>243</v>
      </c>
      <c r="G50" s="43" t="s">
        <v>58</v>
      </c>
      <c r="H50" s="135">
        <v>1898.666</v>
      </c>
      <c r="I50" s="135">
        <v>419.39195</v>
      </c>
      <c r="J50" s="129">
        <f t="shared" si="7"/>
        <v>22.088769167404905</v>
      </c>
      <c r="K50" s="128">
        <f>1.59</f>
        <v>1.59</v>
      </c>
      <c r="L50" s="128"/>
      <c r="M50" s="128">
        <v>1.57289</v>
      </c>
      <c r="N50" s="128">
        <v>0</v>
      </c>
      <c r="O50" s="129">
        <f>M50/K50*100</f>
        <v>98.92389937106917</v>
      </c>
      <c r="P50" s="129">
        <f t="shared" si="8"/>
        <v>1900.2559999999999</v>
      </c>
      <c r="Q50" s="129">
        <f t="shared" si="9"/>
        <v>420.96484</v>
      </c>
      <c r="R50" s="128">
        <f t="shared" si="10"/>
        <v>-1479.2911599999998</v>
      </c>
      <c r="S50" s="129">
        <f t="shared" si="11"/>
        <v>22.153059377262853</v>
      </c>
      <c r="T50" s="34"/>
    </row>
    <row r="51" spans="1:20" s="7" customFormat="1" ht="45" customHeight="1">
      <c r="A51" s="7">
        <v>8</v>
      </c>
      <c r="B51" s="7">
        <v>15</v>
      </c>
      <c r="C51" s="5" t="s">
        <v>272</v>
      </c>
      <c r="D51" s="5" t="s">
        <v>472</v>
      </c>
      <c r="E51" s="5" t="s">
        <v>468</v>
      </c>
      <c r="F51" s="5" t="s">
        <v>263</v>
      </c>
      <c r="G51" s="43" t="s">
        <v>305</v>
      </c>
      <c r="H51" s="128">
        <f>H52</f>
        <v>172</v>
      </c>
      <c r="I51" s="128">
        <f>I52</f>
        <v>23.492</v>
      </c>
      <c r="J51" s="129">
        <f t="shared" si="7"/>
        <v>13.65813953488372</v>
      </c>
      <c r="K51" s="128"/>
      <c r="L51" s="128">
        <f>L52</f>
        <v>0</v>
      </c>
      <c r="M51" s="128"/>
      <c r="N51" s="128"/>
      <c r="O51" s="129"/>
      <c r="P51" s="129">
        <f t="shared" si="8"/>
        <v>172</v>
      </c>
      <c r="Q51" s="129">
        <f t="shared" si="9"/>
        <v>23.492</v>
      </c>
      <c r="R51" s="128">
        <f t="shared" si="10"/>
        <v>-148.508</v>
      </c>
      <c r="S51" s="129">
        <f t="shared" si="11"/>
        <v>13.65813953488372</v>
      </c>
      <c r="T51" s="14"/>
    </row>
    <row r="52" spans="2:20" s="39" customFormat="1" ht="45" customHeight="1">
      <c r="B52" s="39">
        <v>17</v>
      </c>
      <c r="C52" s="35" t="s">
        <v>306</v>
      </c>
      <c r="D52" s="35" t="s">
        <v>473</v>
      </c>
      <c r="E52" s="35" t="s">
        <v>468</v>
      </c>
      <c r="F52" s="36"/>
      <c r="G52" s="37" t="s">
        <v>324</v>
      </c>
      <c r="H52" s="128">
        <v>172</v>
      </c>
      <c r="I52" s="128">
        <v>23.492</v>
      </c>
      <c r="J52" s="129">
        <f t="shared" si="7"/>
        <v>13.65813953488372</v>
      </c>
      <c r="K52" s="130"/>
      <c r="L52" s="130"/>
      <c r="M52" s="128"/>
      <c r="N52" s="128"/>
      <c r="O52" s="129"/>
      <c r="P52" s="129">
        <f t="shared" si="8"/>
        <v>172</v>
      </c>
      <c r="Q52" s="129">
        <f t="shared" si="9"/>
        <v>23.492</v>
      </c>
      <c r="R52" s="128">
        <f t="shared" si="10"/>
        <v>-148.508</v>
      </c>
      <c r="S52" s="129">
        <f t="shared" si="11"/>
        <v>13.65813953488372</v>
      </c>
      <c r="T52" s="38"/>
    </row>
    <row r="53" spans="2:20" s="39" customFormat="1" ht="2.25" customHeight="1" hidden="1">
      <c r="B53" s="39">
        <v>18</v>
      </c>
      <c r="C53" s="35" t="s">
        <v>66</v>
      </c>
      <c r="D53" s="35"/>
      <c r="E53" s="35"/>
      <c r="F53" s="36" t="s">
        <v>263</v>
      </c>
      <c r="G53" s="37" t="s">
        <v>67</v>
      </c>
      <c r="H53" s="128"/>
      <c r="I53" s="130"/>
      <c r="J53" s="129" t="e">
        <f t="shared" si="7"/>
        <v>#DIV/0!</v>
      </c>
      <c r="K53" s="130"/>
      <c r="L53" s="130"/>
      <c r="M53" s="128"/>
      <c r="N53" s="128"/>
      <c r="O53" s="129"/>
      <c r="P53" s="129">
        <f t="shared" si="8"/>
        <v>0</v>
      </c>
      <c r="Q53" s="129">
        <f t="shared" si="9"/>
        <v>0</v>
      </c>
      <c r="R53" s="128">
        <f t="shared" si="10"/>
        <v>0</v>
      </c>
      <c r="S53" s="129" t="e">
        <f t="shared" si="11"/>
        <v>#DIV/0!</v>
      </c>
      <c r="T53" s="38"/>
    </row>
    <row r="54" spans="1:20" s="7" customFormat="1" ht="46.5" customHeight="1">
      <c r="A54" s="7">
        <v>9</v>
      </c>
      <c r="B54" s="7">
        <v>16</v>
      </c>
      <c r="C54" s="5" t="s">
        <v>273</v>
      </c>
      <c r="D54" s="5" t="s">
        <v>474</v>
      </c>
      <c r="E54" s="5" t="s">
        <v>468</v>
      </c>
      <c r="F54" s="5" t="s">
        <v>252</v>
      </c>
      <c r="G54" s="43" t="s">
        <v>59</v>
      </c>
      <c r="H54" s="128">
        <v>16.29</v>
      </c>
      <c r="I54" s="128">
        <v>3.62</v>
      </c>
      <c r="J54" s="129">
        <f t="shared" si="7"/>
        <v>22.222222222222225</v>
      </c>
      <c r="K54" s="136"/>
      <c r="L54" s="136"/>
      <c r="M54" s="128"/>
      <c r="N54" s="128"/>
      <c r="O54" s="129"/>
      <c r="P54" s="129">
        <f t="shared" si="8"/>
        <v>16.29</v>
      </c>
      <c r="Q54" s="129">
        <f t="shared" si="9"/>
        <v>3.62</v>
      </c>
      <c r="R54" s="128">
        <f t="shared" si="10"/>
        <v>-12.669999999999998</v>
      </c>
      <c r="S54" s="129">
        <f t="shared" si="11"/>
        <v>22.222222222222225</v>
      </c>
      <c r="T54" s="14"/>
    </row>
    <row r="55" spans="3:20" s="7" customFormat="1" ht="77.25" customHeight="1">
      <c r="C55" s="32" t="s">
        <v>379</v>
      </c>
      <c r="D55" s="32" t="s">
        <v>478</v>
      </c>
      <c r="E55" s="32" t="s">
        <v>479</v>
      </c>
      <c r="F55" s="5" t="s">
        <v>341</v>
      </c>
      <c r="G55" s="42" t="s">
        <v>342</v>
      </c>
      <c r="H55" s="128">
        <v>37.5</v>
      </c>
      <c r="I55" s="128">
        <v>0</v>
      </c>
      <c r="J55" s="129">
        <f t="shared" si="7"/>
        <v>0</v>
      </c>
      <c r="K55" s="136"/>
      <c r="L55" s="136"/>
      <c r="M55" s="128"/>
      <c r="N55" s="128"/>
      <c r="O55" s="129"/>
      <c r="P55" s="129">
        <f t="shared" si="8"/>
        <v>37.5</v>
      </c>
      <c r="Q55" s="128">
        <v>0</v>
      </c>
      <c r="R55" s="128">
        <f t="shared" si="10"/>
        <v>-37.5</v>
      </c>
      <c r="S55" s="129">
        <f t="shared" si="11"/>
        <v>0</v>
      </c>
      <c r="T55" s="14"/>
    </row>
    <row r="56" spans="2:20" s="7" customFormat="1" ht="2.25" customHeight="1" hidden="1">
      <c r="B56" s="7">
        <v>20</v>
      </c>
      <c r="C56" s="32" t="s">
        <v>475</v>
      </c>
      <c r="D56" s="32" t="s">
        <v>476</v>
      </c>
      <c r="E56" s="32" t="s">
        <v>477</v>
      </c>
      <c r="F56" s="5" t="s">
        <v>3</v>
      </c>
      <c r="G56" s="33" t="s">
        <v>193</v>
      </c>
      <c r="H56" s="128">
        <f>I56+L56</f>
        <v>0</v>
      </c>
      <c r="I56" s="128"/>
      <c r="J56" s="129" t="e">
        <f t="shared" si="7"/>
        <v>#DIV/0!</v>
      </c>
      <c r="K56" s="128"/>
      <c r="L56" s="128"/>
      <c r="M56" s="128"/>
      <c r="N56" s="128"/>
      <c r="O56" s="129" t="e">
        <f>M56/K56*100</f>
        <v>#DIV/0!</v>
      </c>
      <c r="P56" s="128"/>
      <c r="Q56" s="128"/>
      <c r="R56" s="128"/>
      <c r="S56" s="128"/>
      <c r="T56" s="14"/>
    </row>
    <row r="57" spans="3:22" s="7" customFormat="1" ht="40.5" customHeight="1">
      <c r="C57" s="32"/>
      <c r="D57" s="32"/>
      <c r="E57" s="32"/>
      <c r="F57" s="5"/>
      <c r="G57" s="64" t="s">
        <v>143</v>
      </c>
      <c r="H57" s="132">
        <f>H33+H34+H37+H45+H47+H48+H49+H50+H51+H54+H55</f>
        <v>117216.10199</v>
      </c>
      <c r="I57" s="132">
        <f>I33+I34+I37+I45+I47+I48+I49+I50+I51+I54+I55</f>
        <v>27423.542759999997</v>
      </c>
      <c r="J57" s="129">
        <f t="shared" si="7"/>
        <v>23.395712956176933</v>
      </c>
      <c r="K57" s="132">
        <f>K33+K34+K37+K45+K47+K48+K49+K50+K51+K54+K55</f>
        <v>5915.35967</v>
      </c>
      <c r="L57" s="132">
        <f>L33+L34+L37+L45+L47+L48+L49+L50+L51+L54+L55</f>
        <v>0</v>
      </c>
      <c r="M57" s="132">
        <f>M33+M34+M37+M45+M47+M48+M49+M50+M51+M54+M55</f>
        <v>1663.0138099999997</v>
      </c>
      <c r="N57" s="132">
        <f>N33+N34+N37+N45+N47+N48+N49+N50+N51+N54+N55</f>
        <v>0</v>
      </c>
      <c r="O57" s="129">
        <f>M57/K57*100</f>
        <v>28.11348595477711</v>
      </c>
      <c r="P57" s="132">
        <f>H57+K57</f>
        <v>123131.46166</v>
      </c>
      <c r="Q57" s="132">
        <f>I57+M57</f>
        <v>29086.556569999997</v>
      </c>
      <c r="R57" s="132">
        <f>Q57-P57</f>
        <v>-94044.90509</v>
      </c>
      <c r="S57" s="132">
        <f>Q57/P57*100</f>
        <v>23.622359531730417</v>
      </c>
      <c r="T57" s="63">
        <f>SUM(T33:T56)-T37-T51-T34</f>
        <v>96.49</v>
      </c>
      <c r="U57" s="22"/>
      <c r="V57" s="22"/>
    </row>
    <row r="58" spans="3:21" s="50" customFormat="1" ht="56.25" customHeight="1">
      <c r="C58" s="30" t="s">
        <v>184</v>
      </c>
      <c r="D58" s="30"/>
      <c r="E58" s="30"/>
      <c r="F58" s="187"/>
      <c r="G58" s="48" t="s">
        <v>417</v>
      </c>
      <c r="H58" s="132"/>
      <c r="I58" s="132"/>
      <c r="J58" s="129"/>
      <c r="K58" s="132"/>
      <c r="L58" s="132"/>
      <c r="M58" s="132"/>
      <c r="N58" s="132"/>
      <c r="O58" s="132"/>
      <c r="P58" s="132"/>
      <c r="Q58" s="132"/>
      <c r="R58" s="132"/>
      <c r="S58" s="132"/>
      <c r="T58" s="63"/>
      <c r="U58" s="53"/>
    </row>
    <row r="59" spans="3:21" s="7" customFormat="1" ht="56.25" customHeight="1">
      <c r="C59" s="119" t="s">
        <v>28</v>
      </c>
      <c r="D59" s="30"/>
      <c r="E59" s="30"/>
      <c r="F59" s="187"/>
      <c r="G59" s="48" t="s">
        <v>416</v>
      </c>
      <c r="H59" s="128"/>
      <c r="I59" s="128"/>
      <c r="J59" s="129"/>
      <c r="K59" s="128"/>
      <c r="L59" s="128"/>
      <c r="M59" s="128"/>
      <c r="N59" s="128"/>
      <c r="O59" s="128"/>
      <c r="P59" s="128"/>
      <c r="Q59" s="128"/>
      <c r="R59" s="128"/>
      <c r="S59" s="128"/>
      <c r="T59" s="14"/>
      <c r="U59" s="22"/>
    </row>
    <row r="60" spans="1:21" s="7" customFormat="1" ht="47.25" customHeight="1">
      <c r="A60" s="7">
        <v>2</v>
      </c>
      <c r="B60" s="7">
        <v>17</v>
      </c>
      <c r="C60" s="32" t="s">
        <v>185</v>
      </c>
      <c r="D60" s="32" t="s">
        <v>480</v>
      </c>
      <c r="E60" s="32"/>
      <c r="F60" s="5"/>
      <c r="G60" s="43" t="s">
        <v>186</v>
      </c>
      <c r="H60" s="128">
        <f>H61+H62</f>
        <v>1012.9</v>
      </c>
      <c r="I60" s="128">
        <f>I61+I62</f>
        <v>222.80605</v>
      </c>
      <c r="J60" s="129">
        <f t="shared" si="7"/>
        <v>21.99684569059137</v>
      </c>
      <c r="K60" s="128"/>
      <c r="L60" s="128">
        <f>L61+L62</f>
        <v>0</v>
      </c>
      <c r="M60" s="128"/>
      <c r="N60" s="128"/>
      <c r="O60" s="128"/>
      <c r="P60" s="128">
        <f>H60+K60</f>
        <v>1012.9</v>
      </c>
      <c r="Q60" s="128">
        <f>I60+M60</f>
        <v>222.80605</v>
      </c>
      <c r="R60" s="128">
        <f>Q60-P60</f>
        <v>-790.09395</v>
      </c>
      <c r="S60" s="128">
        <f>Q60/P60*100</f>
        <v>21.99684569059137</v>
      </c>
      <c r="T60" s="14">
        <f>T61+T62</f>
        <v>0</v>
      </c>
      <c r="U60" s="22"/>
    </row>
    <row r="61" spans="3:21" s="39" customFormat="1" ht="33" customHeight="1">
      <c r="C61" s="35" t="s">
        <v>134</v>
      </c>
      <c r="D61" s="35" t="s">
        <v>481</v>
      </c>
      <c r="E61" s="35" t="s">
        <v>482</v>
      </c>
      <c r="F61" s="36" t="s">
        <v>50</v>
      </c>
      <c r="G61" s="45" t="s">
        <v>113</v>
      </c>
      <c r="H61" s="130">
        <f>1000.4+2.5</f>
        <v>1002.9</v>
      </c>
      <c r="I61" s="130">
        <v>221.31312</v>
      </c>
      <c r="J61" s="129">
        <f t="shared" si="7"/>
        <v>22.06731678133413</v>
      </c>
      <c r="K61" s="130"/>
      <c r="L61" s="130"/>
      <c r="M61" s="137"/>
      <c r="N61" s="137"/>
      <c r="O61" s="130"/>
      <c r="P61" s="128">
        <f>H61+K61</f>
        <v>1002.9</v>
      </c>
      <c r="Q61" s="128">
        <f>I61+M61</f>
        <v>221.31312</v>
      </c>
      <c r="R61" s="128">
        <f>Q61-P61</f>
        <v>-781.58688</v>
      </c>
      <c r="S61" s="128">
        <f>Q61/P61*100</f>
        <v>22.06731678133413</v>
      </c>
      <c r="T61" s="38"/>
      <c r="U61" s="54"/>
    </row>
    <row r="62" spans="3:20" s="39" customFormat="1" ht="81" customHeight="1">
      <c r="C62" s="35" t="s">
        <v>280</v>
      </c>
      <c r="D62" s="35" t="s">
        <v>483</v>
      </c>
      <c r="E62" s="35" t="s">
        <v>482</v>
      </c>
      <c r="F62" s="36" t="s">
        <v>29</v>
      </c>
      <c r="G62" s="45" t="s">
        <v>346</v>
      </c>
      <c r="H62" s="130">
        <v>10</v>
      </c>
      <c r="I62" s="130">
        <v>1.49293</v>
      </c>
      <c r="J62" s="129">
        <f t="shared" si="7"/>
        <v>14.929300000000001</v>
      </c>
      <c r="K62" s="130"/>
      <c r="L62" s="130"/>
      <c r="M62" s="130"/>
      <c r="N62" s="130"/>
      <c r="O62" s="140"/>
      <c r="P62" s="128">
        <f>H62+K62</f>
        <v>10</v>
      </c>
      <c r="Q62" s="128">
        <f>I62+M62</f>
        <v>1.49293</v>
      </c>
      <c r="R62" s="128">
        <f>Q62-P62</f>
        <v>-8.50707</v>
      </c>
      <c r="S62" s="128">
        <f>Q62/P62*100</f>
        <v>14.929300000000001</v>
      </c>
      <c r="T62" s="38"/>
    </row>
    <row r="63" spans="3:22" s="7" customFormat="1" ht="36.75" customHeight="1">
      <c r="C63" s="32"/>
      <c r="D63" s="32"/>
      <c r="E63" s="32"/>
      <c r="F63" s="5"/>
      <c r="G63" s="64" t="s">
        <v>142</v>
      </c>
      <c r="H63" s="132">
        <f>SUM(H61:H62)</f>
        <v>1012.9</v>
      </c>
      <c r="I63" s="132">
        <f aca="true" t="shared" si="14" ref="I63:T63">SUM(I61:I62)</f>
        <v>222.80605</v>
      </c>
      <c r="J63" s="129">
        <f t="shared" si="7"/>
        <v>21.99684569059137</v>
      </c>
      <c r="K63" s="132">
        <f t="shared" si="14"/>
        <v>0</v>
      </c>
      <c r="L63" s="132">
        <f t="shared" si="14"/>
        <v>0</v>
      </c>
      <c r="M63" s="132">
        <f t="shared" si="14"/>
        <v>0</v>
      </c>
      <c r="N63" s="132">
        <v>0</v>
      </c>
      <c r="O63" s="132">
        <f t="shared" si="14"/>
        <v>0</v>
      </c>
      <c r="P63" s="132">
        <f t="shared" si="14"/>
        <v>1012.9</v>
      </c>
      <c r="Q63" s="132">
        <f t="shared" si="14"/>
        <v>222.80605</v>
      </c>
      <c r="R63" s="132">
        <f>Q63-P63</f>
        <v>-790.09395</v>
      </c>
      <c r="S63" s="132">
        <f>Q63/P63*100</f>
        <v>21.99684569059137</v>
      </c>
      <c r="T63" s="63">
        <f t="shared" si="14"/>
        <v>0</v>
      </c>
      <c r="U63" s="22"/>
      <c r="V63" s="22"/>
    </row>
    <row r="64" spans="3:48" s="7" customFormat="1" ht="60.75" customHeight="1">
      <c r="C64" s="30" t="s">
        <v>146</v>
      </c>
      <c r="D64" s="30"/>
      <c r="E64" s="30"/>
      <c r="F64" s="187"/>
      <c r="G64" s="31" t="s">
        <v>419</v>
      </c>
      <c r="H64" s="128"/>
      <c r="I64" s="128"/>
      <c r="J64" s="128"/>
      <c r="K64" s="128"/>
      <c r="L64" s="128"/>
      <c r="M64" s="128"/>
      <c r="N64" s="128"/>
      <c r="O64" s="128"/>
      <c r="P64" s="128"/>
      <c r="Q64" s="128"/>
      <c r="R64" s="128"/>
      <c r="S64" s="128"/>
      <c r="T64" s="14"/>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3:48" s="7" customFormat="1" ht="60.75" customHeight="1">
      <c r="C65" s="119" t="s">
        <v>147</v>
      </c>
      <c r="D65" s="30"/>
      <c r="E65" s="30"/>
      <c r="F65" s="5"/>
      <c r="G65" s="31" t="s">
        <v>418</v>
      </c>
      <c r="H65" s="128"/>
      <c r="I65" s="128"/>
      <c r="J65" s="128"/>
      <c r="K65" s="128"/>
      <c r="L65" s="128"/>
      <c r="M65" s="128"/>
      <c r="N65" s="128"/>
      <c r="O65" s="128"/>
      <c r="P65" s="128"/>
      <c r="Q65" s="128"/>
      <c r="R65" s="128"/>
      <c r="S65" s="128"/>
      <c r="T65" s="14"/>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3:48" s="19" customFormat="1" ht="37.5" customHeight="1">
      <c r="C66" s="65"/>
      <c r="D66" s="65"/>
      <c r="E66" s="65"/>
      <c r="F66" s="189"/>
      <c r="G66" s="66" t="s">
        <v>45</v>
      </c>
      <c r="H66" s="130">
        <f>H68+H88+H96+H90+H91+H98+H92+H112+H113+H114+H115+H116+H117+H118+H119+H93+H99+H120+H122+H70+H71+H72+H74</f>
        <v>86655.4</v>
      </c>
      <c r="I66" s="130">
        <f>I68+I88+I96+I90+I91+I98+I92+I112+I113+I114+I115+I116+I117+I118+I119+I93+I99+I120+I122+I70+I71+I72+I74</f>
        <v>23064.875689999997</v>
      </c>
      <c r="J66" s="129">
        <f aca="true" t="shared" si="15" ref="J66:J88">I66/H66*100</f>
        <v>26.61677828502321</v>
      </c>
      <c r="K66" s="130">
        <f aca="true" t="shared" si="16" ref="K66:T66">K68+K88+K96+K90+K91+K98+K92+K112+K113+K114+K115+K116+K117+K118+K119+K93+K99+K120+K122+K70+K71+K72+K74</f>
        <v>0</v>
      </c>
      <c r="L66" s="130">
        <f t="shared" si="16"/>
        <v>0</v>
      </c>
      <c r="M66" s="130">
        <f t="shared" si="16"/>
        <v>0</v>
      </c>
      <c r="N66" s="130"/>
      <c r="O66" s="130">
        <f t="shared" si="16"/>
        <v>0</v>
      </c>
      <c r="P66" s="130">
        <f>H66+K66</f>
        <v>86655.4</v>
      </c>
      <c r="Q66" s="130">
        <f>I66+M66</f>
        <v>23064.875689999997</v>
      </c>
      <c r="R66" s="130">
        <f>Q66-P66</f>
        <v>-63590.52430999999</v>
      </c>
      <c r="S66" s="130">
        <f>Q66/P66*100</f>
        <v>26.61677828502321</v>
      </c>
      <c r="T66" s="49">
        <f t="shared" si="16"/>
        <v>0</v>
      </c>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row>
    <row r="67" spans="1:20" s="7" customFormat="1" ht="115.5" customHeight="1">
      <c r="A67" s="7">
        <v>3</v>
      </c>
      <c r="B67" s="7">
        <v>18</v>
      </c>
      <c r="C67" s="32" t="s">
        <v>307</v>
      </c>
      <c r="D67" s="32" t="s">
        <v>439</v>
      </c>
      <c r="E67" s="32" t="s">
        <v>440</v>
      </c>
      <c r="F67" s="5" t="s">
        <v>205</v>
      </c>
      <c r="G67" s="33" t="s">
        <v>624</v>
      </c>
      <c r="H67" s="128">
        <f>3948.6+230.5</f>
        <v>4179.1</v>
      </c>
      <c r="I67" s="128">
        <v>845.75985</v>
      </c>
      <c r="J67" s="129">
        <f t="shared" si="15"/>
        <v>20.237846665549995</v>
      </c>
      <c r="K67" s="128"/>
      <c r="L67" s="128"/>
      <c r="M67" s="128"/>
      <c r="N67" s="128"/>
      <c r="O67" s="185"/>
      <c r="P67" s="128">
        <f>H67+K67</f>
        <v>4179.1</v>
      </c>
      <c r="Q67" s="128">
        <f>I67+M67</f>
        <v>845.75985</v>
      </c>
      <c r="R67" s="128">
        <f>Q67-P67</f>
        <v>-3333.3401500000004</v>
      </c>
      <c r="S67" s="128">
        <f>Q67/P67*100</f>
        <v>20.237846665549995</v>
      </c>
      <c r="T67" s="14"/>
    </row>
    <row r="68" spans="1:20" s="7" customFormat="1" ht="115.5" customHeight="1">
      <c r="A68" s="7">
        <v>10</v>
      </c>
      <c r="B68" s="7">
        <v>19</v>
      </c>
      <c r="C68" s="5" t="s">
        <v>274</v>
      </c>
      <c r="D68" s="5" t="s">
        <v>484</v>
      </c>
      <c r="E68" s="5" t="s">
        <v>461</v>
      </c>
      <c r="F68" s="5" t="s">
        <v>284</v>
      </c>
      <c r="G68" s="41" t="s">
        <v>640</v>
      </c>
      <c r="H68" s="128">
        <v>660.7</v>
      </c>
      <c r="I68" s="128">
        <v>135.38484</v>
      </c>
      <c r="J68" s="129">
        <f t="shared" si="15"/>
        <v>20.491121537762975</v>
      </c>
      <c r="K68" s="128"/>
      <c r="L68" s="128"/>
      <c r="M68" s="128"/>
      <c r="N68" s="128"/>
      <c r="O68" s="185"/>
      <c r="P68" s="128">
        <f>H68+K68</f>
        <v>660.7</v>
      </c>
      <c r="Q68" s="128">
        <f>I68+M68</f>
        <v>135.38484</v>
      </c>
      <c r="R68" s="128">
        <f>Q68-P68</f>
        <v>-525.3151600000001</v>
      </c>
      <c r="S68" s="128">
        <f>Q68/P68*100</f>
        <v>20.491121537762975</v>
      </c>
      <c r="T68" s="14"/>
    </row>
    <row r="69" spans="3:22" s="7" customFormat="1" ht="51.75" customHeight="1">
      <c r="C69" s="59" t="s">
        <v>355</v>
      </c>
      <c r="D69" s="59" t="s">
        <v>485</v>
      </c>
      <c r="E69" s="59" t="s">
        <v>486</v>
      </c>
      <c r="F69" s="161" t="s">
        <v>327</v>
      </c>
      <c r="G69" s="29" t="s">
        <v>328</v>
      </c>
      <c r="H69" s="135">
        <f>SUM(H70:H75)</f>
        <v>59067.799999999996</v>
      </c>
      <c r="I69" s="135">
        <f>SUM(I70:I75)</f>
        <v>13904.73771</v>
      </c>
      <c r="J69" s="129">
        <f t="shared" si="15"/>
        <v>23.540300654502115</v>
      </c>
      <c r="K69" s="135">
        <f>K70+K75</f>
        <v>6421.3139599999995</v>
      </c>
      <c r="L69" s="135">
        <f>L70+L75</f>
        <v>0</v>
      </c>
      <c r="M69" s="135">
        <f>M70+M75</f>
        <v>1717.2510000000002</v>
      </c>
      <c r="N69" s="135">
        <f>N70+N75</f>
        <v>0</v>
      </c>
      <c r="O69" s="135">
        <f>SUM(O70:O75)</f>
        <v>5790</v>
      </c>
      <c r="P69" s="128">
        <f aca="true" t="shared" si="17" ref="P69:P75">H69+K69</f>
        <v>65489.113959999995</v>
      </c>
      <c r="Q69" s="128">
        <f aca="true" t="shared" si="18" ref="Q69:Q75">I69+M69</f>
        <v>15621.98871</v>
      </c>
      <c r="R69" s="128">
        <f aca="true" t="shared" si="19" ref="R69:R75">Q69-P69</f>
        <v>-49867.12525</v>
      </c>
      <c r="S69" s="128">
        <f aca="true" t="shared" si="20" ref="S69:S75">Q69/P69*100</f>
        <v>23.854329010378326</v>
      </c>
      <c r="T69" s="91">
        <f>SUM(T70:T75)</f>
        <v>231.7</v>
      </c>
      <c r="U69" s="22"/>
      <c r="V69" s="22"/>
    </row>
    <row r="70" spans="3:21" s="7" customFormat="1" ht="30" customHeight="1">
      <c r="C70" s="61"/>
      <c r="D70" s="61"/>
      <c r="E70" s="61"/>
      <c r="F70" s="190"/>
      <c r="G70" s="88" t="s">
        <v>337</v>
      </c>
      <c r="H70" s="135">
        <v>33081.2</v>
      </c>
      <c r="I70" s="135">
        <v>8267.3</v>
      </c>
      <c r="J70" s="129">
        <f t="shared" si="15"/>
        <v>24.990931405148544</v>
      </c>
      <c r="K70" s="135"/>
      <c r="L70" s="128"/>
      <c r="M70" s="128"/>
      <c r="N70" s="128"/>
      <c r="O70" s="185"/>
      <c r="P70" s="128">
        <f t="shared" si="17"/>
        <v>33081.2</v>
      </c>
      <c r="Q70" s="128">
        <f t="shared" si="18"/>
        <v>8267.3</v>
      </c>
      <c r="R70" s="128">
        <f t="shared" si="19"/>
        <v>-24813.899999999998</v>
      </c>
      <c r="S70" s="128">
        <f t="shared" si="20"/>
        <v>24.990931405148544</v>
      </c>
      <c r="T70" s="14"/>
      <c r="U70" s="22"/>
    </row>
    <row r="71" spans="3:21" s="7" customFormat="1" ht="2.25" customHeight="1" hidden="1">
      <c r="C71" s="61"/>
      <c r="D71" s="61"/>
      <c r="E71" s="61"/>
      <c r="F71" s="190"/>
      <c r="G71" s="88" t="s">
        <v>338</v>
      </c>
      <c r="H71" s="135"/>
      <c r="I71" s="135"/>
      <c r="J71" s="129" t="e">
        <f t="shared" si="15"/>
        <v>#DIV/0!</v>
      </c>
      <c r="K71" s="135"/>
      <c r="L71" s="128"/>
      <c r="M71" s="128"/>
      <c r="N71" s="128"/>
      <c r="O71" s="185"/>
      <c r="P71" s="128">
        <f t="shared" si="17"/>
        <v>0</v>
      </c>
      <c r="Q71" s="128">
        <f t="shared" si="18"/>
        <v>0</v>
      </c>
      <c r="R71" s="128">
        <f t="shared" si="19"/>
        <v>0</v>
      </c>
      <c r="S71" s="128" t="e">
        <f t="shared" si="20"/>
        <v>#DIV/0!</v>
      </c>
      <c r="T71" s="14"/>
      <c r="U71" s="22"/>
    </row>
    <row r="72" spans="3:20" s="7" customFormat="1" ht="2.25" customHeight="1" hidden="1">
      <c r="C72" s="61"/>
      <c r="D72" s="61"/>
      <c r="E72" s="61"/>
      <c r="F72" s="190"/>
      <c r="G72" s="88" t="s">
        <v>344</v>
      </c>
      <c r="H72" s="135"/>
      <c r="I72" s="135"/>
      <c r="J72" s="129" t="e">
        <f t="shared" si="15"/>
        <v>#DIV/0!</v>
      </c>
      <c r="K72" s="135"/>
      <c r="L72" s="128"/>
      <c r="M72" s="128"/>
      <c r="N72" s="128"/>
      <c r="O72" s="185"/>
      <c r="P72" s="128">
        <f t="shared" si="17"/>
        <v>0</v>
      </c>
      <c r="Q72" s="128">
        <f t="shared" si="18"/>
        <v>0</v>
      </c>
      <c r="R72" s="128">
        <f t="shared" si="19"/>
        <v>0</v>
      </c>
      <c r="S72" s="128" t="e">
        <f t="shared" si="20"/>
        <v>#DIV/0!</v>
      </c>
      <c r="T72" s="14"/>
    </row>
    <row r="73" spans="3:20" s="7" customFormat="1" ht="2.25" customHeight="1" hidden="1">
      <c r="C73" s="61"/>
      <c r="D73" s="61"/>
      <c r="E73" s="61"/>
      <c r="F73" s="190"/>
      <c r="G73" s="88" t="s">
        <v>394</v>
      </c>
      <c r="H73" s="135"/>
      <c r="I73" s="135"/>
      <c r="J73" s="129" t="e">
        <f t="shared" si="15"/>
        <v>#DIV/0!</v>
      </c>
      <c r="K73" s="135"/>
      <c r="L73" s="128"/>
      <c r="M73" s="128"/>
      <c r="N73" s="128"/>
      <c r="O73" s="185"/>
      <c r="P73" s="128">
        <f t="shared" si="17"/>
        <v>0</v>
      </c>
      <c r="Q73" s="128">
        <f t="shared" si="18"/>
        <v>0</v>
      </c>
      <c r="R73" s="128">
        <f t="shared" si="19"/>
        <v>0</v>
      </c>
      <c r="S73" s="128" t="e">
        <f t="shared" si="20"/>
        <v>#DIV/0!</v>
      </c>
      <c r="T73" s="14"/>
    </row>
    <row r="74" spans="3:20" s="7" customFormat="1" ht="2.25" customHeight="1" hidden="1">
      <c r="C74" s="61"/>
      <c r="D74" s="61"/>
      <c r="E74" s="61"/>
      <c r="F74" s="190"/>
      <c r="G74" s="88" t="s">
        <v>426</v>
      </c>
      <c r="H74" s="135"/>
      <c r="I74" s="135"/>
      <c r="J74" s="129" t="e">
        <f t="shared" si="15"/>
        <v>#DIV/0!</v>
      </c>
      <c r="K74" s="135"/>
      <c r="L74" s="128"/>
      <c r="M74" s="128"/>
      <c r="N74" s="128"/>
      <c r="O74" s="185"/>
      <c r="P74" s="128">
        <f t="shared" si="17"/>
        <v>0</v>
      </c>
      <c r="Q74" s="128">
        <f t="shared" si="18"/>
        <v>0</v>
      </c>
      <c r="R74" s="128">
        <f t="shared" si="19"/>
        <v>0</v>
      </c>
      <c r="S74" s="128" t="e">
        <f t="shared" si="20"/>
        <v>#DIV/0!</v>
      </c>
      <c r="T74" s="14"/>
    </row>
    <row r="75" spans="3:22" s="7" customFormat="1" ht="26.25" customHeight="1">
      <c r="C75" s="61"/>
      <c r="D75" s="61"/>
      <c r="E75" s="61"/>
      <c r="F75" s="190"/>
      <c r="G75" s="88" t="s">
        <v>339</v>
      </c>
      <c r="H75" s="135">
        <f>26218.3-231.7</f>
        <v>25986.6</v>
      </c>
      <c r="I75" s="135">
        <v>5637.43771</v>
      </c>
      <c r="J75" s="129">
        <f t="shared" si="15"/>
        <v>21.69363329562159</v>
      </c>
      <c r="K75" s="135">
        <f>5790+399.61396+231.7</f>
        <v>6421.3139599999995</v>
      </c>
      <c r="L75" s="128"/>
      <c r="M75" s="138">
        <f>1320.87704+396.37396</f>
        <v>1717.2510000000002</v>
      </c>
      <c r="N75" s="135">
        <v>0</v>
      </c>
      <c r="O75" s="138">
        <v>5790</v>
      </c>
      <c r="P75" s="128">
        <f t="shared" si="17"/>
        <v>32407.913959999998</v>
      </c>
      <c r="Q75" s="128">
        <f t="shared" si="18"/>
        <v>7354.68871</v>
      </c>
      <c r="R75" s="128">
        <f t="shared" si="19"/>
        <v>-25053.225249999996</v>
      </c>
      <c r="S75" s="128">
        <f t="shared" si="20"/>
        <v>22.694113293060596</v>
      </c>
      <c r="T75" s="92">
        <v>231.7</v>
      </c>
      <c r="U75" s="22"/>
      <c r="V75" s="22"/>
    </row>
    <row r="76" spans="3:20" s="7" customFormat="1" ht="38.25" customHeight="1">
      <c r="C76" s="83" t="s">
        <v>356</v>
      </c>
      <c r="D76" s="83" t="s">
        <v>497</v>
      </c>
      <c r="E76" s="83"/>
      <c r="F76" s="190"/>
      <c r="G76" s="84" t="s">
        <v>34</v>
      </c>
      <c r="H76" s="128">
        <f>SUM(H77:H81)</f>
        <v>554.9</v>
      </c>
      <c r="I76" s="128">
        <f>SUM(I77:I81)</f>
        <v>120.78714</v>
      </c>
      <c r="J76" s="129">
        <f t="shared" si="15"/>
        <v>21.767370697422958</v>
      </c>
      <c r="K76" s="128"/>
      <c r="L76" s="128"/>
      <c r="M76" s="128"/>
      <c r="N76" s="128"/>
      <c r="O76" s="185"/>
      <c r="P76" s="128">
        <f aca="true" t="shared" si="21" ref="P76:P88">H76+K76</f>
        <v>554.9</v>
      </c>
      <c r="Q76" s="128">
        <f aca="true" t="shared" si="22" ref="Q76:Q88">I76+M76</f>
        <v>120.78714</v>
      </c>
      <c r="R76" s="128">
        <f aca="true" t="shared" si="23" ref="R76:R88">Q76-P76</f>
        <v>-434.11285999999996</v>
      </c>
      <c r="S76" s="128">
        <f aca="true" t="shared" si="24" ref="S76:S88">Q76/P76*100</f>
        <v>21.767370697422958</v>
      </c>
      <c r="T76" s="14"/>
    </row>
    <row r="77" spans="3:20" s="7" customFormat="1" ht="57.75" customHeight="1">
      <c r="C77" s="76" t="s">
        <v>357</v>
      </c>
      <c r="D77" s="76" t="s">
        <v>498</v>
      </c>
      <c r="E77" s="76" t="s">
        <v>672</v>
      </c>
      <c r="F77" s="191" t="s">
        <v>317</v>
      </c>
      <c r="G77" s="90" t="s">
        <v>703</v>
      </c>
      <c r="H77" s="130">
        <v>149.5</v>
      </c>
      <c r="I77" s="130">
        <v>0</v>
      </c>
      <c r="J77" s="129">
        <f t="shared" si="15"/>
        <v>0</v>
      </c>
      <c r="K77" s="128"/>
      <c r="L77" s="128"/>
      <c r="M77" s="128"/>
      <c r="N77" s="128"/>
      <c r="O77" s="185"/>
      <c r="P77" s="128">
        <f t="shared" si="21"/>
        <v>149.5</v>
      </c>
      <c r="Q77" s="128">
        <f t="shared" si="22"/>
        <v>0</v>
      </c>
      <c r="R77" s="128">
        <f t="shared" si="23"/>
        <v>-149.5</v>
      </c>
      <c r="S77" s="128">
        <f t="shared" si="24"/>
        <v>0</v>
      </c>
      <c r="T77" s="14"/>
    </row>
    <row r="78" spans="3:20" s="7" customFormat="1" ht="55.5" customHeight="1">
      <c r="C78" s="76" t="s">
        <v>361</v>
      </c>
      <c r="D78" s="76" t="s">
        <v>499</v>
      </c>
      <c r="E78" s="76" t="s">
        <v>488</v>
      </c>
      <c r="F78" s="191" t="s">
        <v>24</v>
      </c>
      <c r="G78" s="77" t="s">
        <v>704</v>
      </c>
      <c r="H78" s="130">
        <v>75.4</v>
      </c>
      <c r="I78" s="130">
        <v>1.275</v>
      </c>
      <c r="J78" s="129">
        <f t="shared" si="15"/>
        <v>1.6909814323607424</v>
      </c>
      <c r="K78" s="128"/>
      <c r="L78" s="128"/>
      <c r="M78" s="128"/>
      <c r="N78" s="128"/>
      <c r="O78" s="185"/>
      <c r="P78" s="128">
        <f t="shared" si="21"/>
        <v>75.4</v>
      </c>
      <c r="Q78" s="128">
        <f t="shared" si="22"/>
        <v>1.275</v>
      </c>
      <c r="R78" s="128">
        <f t="shared" si="23"/>
        <v>-74.125</v>
      </c>
      <c r="S78" s="128">
        <f t="shared" si="24"/>
        <v>1.6909814323607424</v>
      </c>
      <c r="T78" s="14"/>
    </row>
    <row r="79" spans="3:20" s="7" customFormat="1" ht="54" customHeight="1">
      <c r="C79" s="76" t="s">
        <v>362</v>
      </c>
      <c r="D79" s="76" t="s">
        <v>500</v>
      </c>
      <c r="E79" s="76" t="s">
        <v>488</v>
      </c>
      <c r="F79" s="191" t="s">
        <v>25</v>
      </c>
      <c r="G79" s="77" t="s">
        <v>23</v>
      </c>
      <c r="H79" s="130">
        <v>30</v>
      </c>
      <c r="I79" s="130">
        <v>4.98009</v>
      </c>
      <c r="J79" s="129">
        <f t="shared" si="15"/>
        <v>16.600299999999997</v>
      </c>
      <c r="K79" s="128"/>
      <c r="L79" s="128"/>
      <c r="M79" s="128"/>
      <c r="N79" s="128"/>
      <c r="O79" s="185"/>
      <c r="P79" s="128">
        <f t="shared" si="21"/>
        <v>30</v>
      </c>
      <c r="Q79" s="128">
        <f t="shared" si="22"/>
        <v>4.98009</v>
      </c>
      <c r="R79" s="128">
        <f t="shared" si="23"/>
        <v>-25.01991</v>
      </c>
      <c r="S79" s="128">
        <f t="shared" si="24"/>
        <v>16.600299999999997</v>
      </c>
      <c r="T79" s="14"/>
    </row>
    <row r="80" spans="3:20" s="7" customFormat="1" ht="63.75" customHeight="1">
      <c r="C80" s="76" t="s">
        <v>363</v>
      </c>
      <c r="D80" s="76" t="s">
        <v>501</v>
      </c>
      <c r="E80" s="76" t="s">
        <v>488</v>
      </c>
      <c r="F80" s="191" t="s">
        <v>26</v>
      </c>
      <c r="G80" s="77" t="s">
        <v>629</v>
      </c>
      <c r="H80" s="130">
        <v>150</v>
      </c>
      <c r="I80" s="130">
        <v>39.53205</v>
      </c>
      <c r="J80" s="129">
        <f t="shared" si="15"/>
        <v>26.354699999999998</v>
      </c>
      <c r="K80" s="128"/>
      <c r="L80" s="128"/>
      <c r="M80" s="128"/>
      <c r="N80" s="128"/>
      <c r="O80" s="185"/>
      <c r="P80" s="128">
        <f t="shared" si="21"/>
        <v>150</v>
      </c>
      <c r="Q80" s="128">
        <f t="shared" si="22"/>
        <v>39.53205</v>
      </c>
      <c r="R80" s="128">
        <f t="shared" si="23"/>
        <v>-110.46795</v>
      </c>
      <c r="S80" s="128">
        <f t="shared" si="24"/>
        <v>26.354699999999998</v>
      </c>
      <c r="T80" s="14"/>
    </row>
    <row r="81" spans="3:20" s="7" customFormat="1" ht="57.75" customHeight="1">
      <c r="C81" s="76" t="s">
        <v>358</v>
      </c>
      <c r="D81" s="76" t="s">
        <v>502</v>
      </c>
      <c r="E81" s="76" t="s">
        <v>488</v>
      </c>
      <c r="F81" s="191" t="s">
        <v>27</v>
      </c>
      <c r="G81" s="77" t="s">
        <v>434</v>
      </c>
      <c r="H81" s="130">
        <v>150</v>
      </c>
      <c r="I81" s="130">
        <v>75</v>
      </c>
      <c r="J81" s="129">
        <f t="shared" si="15"/>
        <v>50</v>
      </c>
      <c r="K81" s="128"/>
      <c r="L81" s="128"/>
      <c r="M81" s="128"/>
      <c r="N81" s="128"/>
      <c r="O81" s="185"/>
      <c r="P81" s="128">
        <f t="shared" si="21"/>
        <v>150</v>
      </c>
      <c r="Q81" s="128">
        <f t="shared" si="22"/>
        <v>75</v>
      </c>
      <c r="R81" s="128">
        <f t="shared" si="23"/>
        <v>-75</v>
      </c>
      <c r="S81" s="128">
        <f t="shared" si="24"/>
        <v>50</v>
      </c>
      <c r="T81" s="14"/>
    </row>
    <row r="82" spans="1:20" s="7" customFormat="1" ht="46.5" customHeight="1">
      <c r="A82" s="7">
        <v>2</v>
      </c>
      <c r="B82" s="7">
        <v>20</v>
      </c>
      <c r="C82" s="59" t="s">
        <v>19</v>
      </c>
      <c r="D82" s="59" t="s">
        <v>487</v>
      </c>
      <c r="E82" s="59" t="s">
        <v>488</v>
      </c>
      <c r="F82" s="161" t="s">
        <v>18</v>
      </c>
      <c r="G82" s="62" t="s">
        <v>20</v>
      </c>
      <c r="H82" s="128">
        <f>SUM(H83:H86)</f>
        <v>487.75</v>
      </c>
      <c r="I82" s="128">
        <f>SUM(I83:I86)</f>
        <v>73.37948</v>
      </c>
      <c r="J82" s="129">
        <f t="shared" si="15"/>
        <v>15.044485904664276</v>
      </c>
      <c r="K82" s="128"/>
      <c r="L82" s="128">
        <f>SUM(L76:L81)</f>
        <v>0</v>
      </c>
      <c r="M82" s="128"/>
      <c r="N82" s="128"/>
      <c r="O82" s="185"/>
      <c r="P82" s="128">
        <f t="shared" si="21"/>
        <v>487.75</v>
      </c>
      <c r="Q82" s="128">
        <f t="shared" si="22"/>
        <v>73.37948</v>
      </c>
      <c r="R82" s="128">
        <f t="shared" si="23"/>
        <v>-414.37052</v>
      </c>
      <c r="S82" s="128">
        <f t="shared" si="24"/>
        <v>15.044485904664276</v>
      </c>
      <c r="T82" s="14"/>
    </row>
    <row r="83" spans="3:20" s="7" customFormat="1" ht="42.75" customHeight="1">
      <c r="C83" s="59" t="s">
        <v>489</v>
      </c>
      <c r="D83" s="32" t="s">
        <v>493</v>
      </c>
      <c r="E83" s="32" t="s">
        <v>488</v>
      </c>
      <c r="F83" s="5"/>
      <c r="G83" s="66" t="s">
        <v>433</v>
      </c>
      <c r="H83" s="128">
        <v>130</v>
      </c>
      <c r="I83" s="128">
        <v>22.215</v>
      </c>
      <c r="J83" s="129">
        <f t="shared" si="15"/>
        <v>17.088461538461537</v>
      </c>
      <c r="K83" s="128"/>
      <c r="L83" s="128"/>
      <c r="M83" s="128"/>
      <c r="N83" s="128"/>
      <c r="O83" s="185"/>
      <c r="P83" s="128">
        <f t="shared" si="21"/>
        <v>130</v>
      </c>
      <c r="Q83" s="128">
        <f t="shared" si="22"/>
        <v>22.215</v>
      </c>
      <c r="R83" s="128">
        <f t="shared" si="23"/>
        <v>-107.785</v>
      </c>
      <c r="S83" s="128">
        <f t="shared" si="24"/>
        <v>17.088461538461537</v>
      </c>
      <c r="T83" s="14"/>
    </row>
    <row r="84" spans="3:20" s="7" customFormat="1" ht="45" customHeight="1">
      <c r="C84" s="59" t="s">
        <v>490</v>
      </c>
      <c r="D84" s="32" t="s">
        <v>494</v>
      </c>
      <c r="E84" s="59" t="s">
        <v>488</v>
      </c>
      <c r="F84" s="5"/>
      <c r="G84" s="66" t="s">
        <v>22</v>
      </c>
      <c r="H84" s="128">
        <v>72</v>
      </c>
      <c r="I84" s="128">
        <v>5.75997</v>
      </c>
      <c r="J84" s="129">
        <f t="shared" si="15"/>
        <v>7.999958333333333</v>
      </c>
      <c r="K84" s="128"/>
      <c r="L84" s="128"/>
      <c r="M84" s="128"/>
      <c r="N84" s="128"/>
      <c r="O84" s="185"/>
      <c r="P84" s="128">
        <f t="shared" si="21"/>
        <v>72</v>
      </c>
      <c r="Q84" s="128">
        <f t="shared" si="22"/>
        <v>5.75997</v>
      </c>
      <c r="R84" s="128">
        <f t="shared" si="23"/>
        <v>-66.24003</v>
      </c>
      <c r="S84" s="128">
        <f t="shared" si="24"/>
        <v>7.999958333333333</v>
      </c>
      <c r="T84" s="14"/>
    </row>
    <row r="85" spans="3:20" s="7" customFormat="1" ht="45" customHeight="1">
      <c r="C85" s="59" t="s">
        <v>491</v>
      </c>
      <c r="D85" s="32" t="s">
        <v>495</v>
      </c>
      <c r="E85" s="32" t="s">
        <v>488</v>
      </c>
      <c r="F85" s="5"/>
      <c r="G85" s="66" t="s">
        <v>352</v>
      </c>
      <c r="H85" s="128">
        <v>226</v>
      </c>
      <c r="I85" s="128">
        <v>26.40451</v>
      </c>
      <c r="J85" s="129">
        <f t="shared" si="15"/>
        <v>11.683411504424777</v>
      </c>
      <c r="K85" s="128"/>
      <c r="L85" s="128"/>
      <c r="M85" s="128"/>
      <c r="N85" s="128"/>
      <c r="O85" s="185"/>
      <c r="P85" s="128">
        <f t="shared" si="21"/>
        <v>226</v>
      </c>
      <c r="Q85" s="128">
        <f t="shared" si="22"/>
        <v>26.40451</v>
      </c>
      <c r="R85" s="128">
        <f t="shared" si="23"/>
        <v>-199.59549</v>
      </c>
      <c r="S85" s="128">
        <f t="shared" si="24"/>
        <v>11.683411504424777</v>
      </c>
      <c r="T85" s="14"/>
    </row>
    <row r="86" spans="3:20" s="7" customFormat="1" ht="45" customHeight="1">
      <c r="C86" s="59" t="s">
        <v>492</v>
      </c>
      <c r="D86" s="32" t="s">
        <v>496</v>
      </c>
      <c r="E86" s="59" t="s">
        <v>488</v>
      </c>
      <c r="F86" s="5"/>
      <c r="G86" s="66" t="s">
        <v>21</v>
      </c>
      <c r="H86" s="128">
        <v>59.75</v>
      </c>
      <c r="I86" s="128">
        <v>19</v>
      </c>
      <c r="J86" s="129">
        <f t="shared" si="15"/>
        <v>31.799163179916317</v>
      </c>
      <c r="K86" s="128"/>
      <c r="L86" s="128"/>
      <c r="M86" s="128"/>
      <c r="N86" s="128"/>
      <c r="O86" s="185"/>
      <c r="P86" s="128">
        <f t="shared" si="21"/>
        <v>59.75</v>
      </c>
      <c r="Q86" s="128">
        <f t="shared" si="22"/>
        <v>19</v>
      </c>
      <c r="R86" s="128">
        <f t="shared" si="23"/>
        <v>-40.75</v>
      </c>
      <c r="S86" s="128">
        <f t="shared" si="24"/>
        <v>31.799163179916317</v>
      </c>
      <c r="T86" s="14"/>
    </row>
    <row r="87" spans="1:21" s="7" customFormat="1" ht="83.25" customHeight="1">
      <c r="A87" s="7">
        <v>1</v>
      </c>
      <c r="B87" s="7">
        <v>22</v>
      </c>
      <c r="C87" s="32" t="s">
        <v>148</v>
      </c>
      <c r="D87" s="32" t="s">
        <v>503</v>
      </c>
      <c r="E87" s="32"/>
      <c r="F87" s="5"/>
      <c r="G87" s="43" t="s">
        <v>149</v>
      </c>
      <c r="H87" s="128">
        <f>SUM(H88:H94)</f>
        <v>12811.7</v>
      </c>
      <c r="I87" s="128">
        <f>SUM(I88:I94)</f>
        <v>5341.02355</v>
      </c>
      <c r="J87" s="129">
        <f t="shared" si="15"/>
        <v>41.6886404614532</v>
      </c>
      <c r="K87" s="128"/>
      <c r="L87" s="128"/>
      <c r="M87" s="128"/>
      <c r="N87" s="128"/>
      <c r="O87" s="128">
        <f>SUM(O88:O93)</f>
        <v>0</v>
      </c>
      <c r="P87" s="128">
        <f t="shared" si="21"/>
        <v>12811.7</v>
      </c>
      <c r="Q87" s="128">
        <f t="shared" si="22"/>
        <v>5341.02355</v>
      </c>
      <c r="R87" s="128">
        <f t="shared" si="23"/>
        <v>-7470.676450000001</v>
      </c>
      <c r="S87" s="128">
        <f t="shared" si="24"/>
        <v>41.6886404614532</v>
      </c>
      <c r="T87" s="14">
        <f>SUM(T88:T93)</f>
        <v>0</v>
      </c>
      <c r="U87" s="22"/>
    </row>
    <row r="88" spans="3:20" s="7" customFormat="1" ht="279" customHeight="1">
      <c r="C88" s="35" t="s">
        <v>60</v>
      </c>
      <c r="D88" s="35" t="s">
        <v>667</v>
      </c>
      <c r="E88" s="35" t="s">
        <v>505</v>
      </c>
      <c r="F88" s="36" t="s">
        <v>229</v>
      </c>
      <c r="G88" s="37" t="s">
        <v>509</v>
      </c>
      <c r="H88" s="128">
        <v>1900</v>
      </c>
      <c r="I88" s="128">
        <v>615.27251</v>
      </c>
      <c r="J88" s="129">
        <f t="shared" si="15"/>
        <v>32.38276368421052</v>
      </c>
      <c r="K88" s="128"/>
      <c r="L88" s="128"/>
      <c r="M88" s="128"/>
      <c r="N88" s="128"/>
      <c r="O88" s="185"/>
      <c r="P88" s="128">
        <f t="shared" si="21"/>
        <v>1900</v>
      </c>
      <c r="Q88" s="128">
        <f t="shared" si="22"/>
        <v>615.27251</v>
      </c>
      <c r="R88" s="128">
        <f t="shared" si="23"/>
        <v>-1284.72749</v>
      </c>
      <c r="S88" s="128">
        <f t="shared" si="24"/>
        <v>32.38276368421052</v>
      </c>
      <c r="T88" s="14"/>
    </row>
    <row r="89" spans="3:20" s="7" customFormat="1" ht="409.5" customHeight="1">
      <c r="C89" s="44"/>
      <c r="D89" s="44"/>
      <c r="E89" s="44"/>
      <c r="F89" s="192"/>
      <c r="G89" s="37" t="s">
        <v>641</v>
      </c>
      <c r="H89" s="164">
        <v>310</v>
      </c>
      <c r="I89" s="139"/>
      <c r="J89" s="164"/>
      <c r="K89" s="164"/>
      <c r="L89" s="139"/>
      <c r="M89" s="164"/>
      <c r="N89" s="139"/>
      <c r="O89" s="193"/>
      <c r="P89" s="130"/>
      <c r="Q89" s="130"/>
      <c r="R89" s="164">
        <f>Q90-P90</f>
        <v>-205.31966</v>
      </c>
      <c r="S89" s="164">
        <f>Q90/P90*100</f>
        <v>33.76785161290323</v>
      </c>
      <c r="T89" s="194"/>
    </row>
    <row r="90" spans="3:20" s="7" customFormat="1" ht="327" customHeight="1">
      <c r="C90" s="35" t="s">
        <v>62</v>
      </c>
      <c r="D90" s="35" t="s">
        <v>504</v>
      </c>
      <c r="E90" s="35" t="s">
        <v>505</v>
      </c>
      <c r="F90" s="192" t="s">
        <v>231</v>
      </c>
      <c r="G90" s="37" t="s">
        <v>510</v>
      </c>
      <c r="H90" s="164"/>
      <c r="I90" s="139">
        <v>104.68034</v>
      </c>
      <c r="J90" s="164"/>
      <c r="K90" s="164"/>
      <c r="L90" s="139"/>
      <c r="M90" s="164"/>
      <c r="N90" s="139"/>
      <c r="O90" s="193"/>
      <c r="P90" s="130">
        <f>H89+K89</f>
        <v>310</v>
      </c>
      <c r="Q90" s="130">
        <f>I90+M89</f>
        <v>104.68034</v>
      </c>
      <c r="R90" s="164"/>
      <c r="S90" s="164"/>
      <c r="T90" s="194"/>
    </row>
    <row r="91" spans="3:20" s="7" customFormat="1" ht="131.25" customHeight="1">
      <c r="C91" s="35" t="s">
        <v>64</v>
      </c>
      <c r="D91" s="35" t="s">
        <v>506</v>
      </c>
      <c r="E91" s="35" t="s">
        <v>479</v>
      </c>
      <c r="F91" s="36" t="s">
        <v>247</v>
      </c>
      <c r="G91" s="37" t="s">
        <v>511</v>
      </c>
      <c r="H91" s="128">
        <v>1420</v>
      </c>
      <c r="I91" s="130">
        <v>456.14796</v>
      </c>
      <c r="J91" s="129">
        <f>I91/H91*100</f>
        <v>32.12309577464789</v>
      </c>
      <c r="K91" s="130"/>
      <c r="L91" s="130"/>
      <c r="M91" s="130"/>
      <c r="N91" s="130"/>
      <c r="O91" s="140"/>
      <c r="P91" s="130">
        <f>H91+K91</f>
        <v>1420</v>
      </c>
      <c r="Q91" s="130">
        <f>I91+M91</f>
        <v>456.14796</v>
      </c>
      <c r="R91" s="130">
        <f>Q91-P91</f>
        <v>-963.85204</v>
      </c>
      <c r="S91" s="130">
        <f>Q91/P91*100</f>
        <v>32.12309577464789</v>
      </c>
      <c r="T91" s="38"/>
    </row>
    <row r="92" spans="3:20" s="39" customFormat="1" ht="67.5" customHeight="1">
      <c r="C92" s="35" t="s">
        <v>71</v>
      </c>
      <c r="D92" s="35" t="s">
        <v>508</v>
      </c>
      <c r="E92" s="35" t="s">
        <v>479</v>
      </c>
      <c r="F92" s="36" t="s">
        <v>47</v>
      </c>
      <c r="G92" s="37" t="s">
        <v>512</v>
      </c>
      <c r="H92" s="128">
        <v>150.2</v>
      </c>
      <c r="I92" s="130">
        <v>50.76166</v>
      </c>
      <c r="J92" s="129">
        <f>I92/H92*100</f>
        <v>33.79604527296938</v>
      </c>
      <c r="K92" s="130"/>
      <c r="L92" s="130"/>
      <c r="M92" s="130"/>
      <c r="N92" s="130"/>
      <c r="O92" s="140"/>
      <c r="P92" s="130">
        <f>H92+K92</f>
        <v>150.2</v>
      </c>
      <c r="Q92" s="130">
        <f aca="true" t="shared" si="25" ref="Q92:Q154">I92+M92</f>
        <v>50.76166</v>
      </c>
      <c r="R92" s="130">
        <f>Q92-P92</f>
        <v>-99.43833999999998</v>
      </c>
      <c r="S92" s="130">
        <f>Q92/P92*100</f>
        <v>33.79604527296938</v>
      </c>
      <c r="T92" s="38"/>
    </row>
    <row r="93" spans="3:20" s="39" customFormat="1" ht="63" customHeight="1">
      <c r="C93" s="35" t="s">
        <v>81</v>
      </c>
      <c r="D93" s="35" t="s">
        <v>507</v>
      </c>
      <c r="E93" s="35" t="s">
        <v>484</v>
      </c>
      <c r="F93" s="36" t="s">
        <v>210</v>
      </c>
      <c r="G93" s="45" t="s">
        <v>513</v>
      </c>
      <c r="H93" s="128">
        <v>9031.5</v>
      </c>
      <c r="I93" s="130">
        <v>4114.16108</v>
      </c>
      <c r="J93" s="129">
        <f>I93/H93*100</f>
        <v>45.553463765708905</v>
      </c>
      <c r="K93" s="130"/>
      <c r="L93" s="130"/>
      <c r="M93" s="130"/>
      <c r="N93" s="130"/>
      <c r="O93" s="140"/>
      <c r="P93" s="130">
        <f aca="true" t="shared" si="26" ref="P93:P98">H93+K93</f>
        <v>9031.5</v>
      </c>
      <c r="Q93" s="130">
        <f t="shared" si="25"/>
        <v>4114.16108</v>
      </c>
      <c r="R93" s="130">
        <f aca="true" t="shared" si="27" ref="R93:R98">Q93-P93</f>
        <v>-4917.33892</v>
      </c>
      <c r="S93" s="130">
        <f aca="true" t="shared" si="28" ref="S93:S98">Q93/P93*100</f>
        <v>45.553463765708905</v>
      </c>
      <c r="T93" s="38"/>
    </row>
    <row r="94" spans="3:20" s="39" customFormat="1" ht="2.25" customHeight="1" hidden="1">
      <c r="C94" s="35" t="s">
        <v>167</v>
      </c>
      <c r="D94" s="35" t="s">
        <v>517</v>
      </c>
      <c r="E94" s="35" t="s">
        <v>484</v>
      </c>
      <c r="F94" s="36" t="s">
        <v>168</v>
      </c>
      <c r="G94" s="45" t="s">
        <v>514</v>
      </c>
      <c r="H94" s="128">
        <f>I94+L94</f>
        <v>0</v>
      </c>
      <c r="I94" s="130"/>
      <c r="J94" s="129" t="e">
        <f>I94/H94*100</f>
        <v>#DIV/0!</v>
      </c>
      <c r="K94" s="130"/>
      <c r="L94" s="130"/>
      <c r="M94" s="130"/>
      <c r="N94" s="130"/>
      <c r="O94" s="140"/>
      <c r="P94" s="130">
        <f t="shared" si="26"/>
        <v>0</v>
      </c>
      <c r="Q94" s="130">
        <f t="shared" si="25"/>
        <v>0</v>
      </c>
      <c r="R94" s="130">
        <f t="shared" si="27"/>
        <v>0</v>
      </c>
      <c r="S94" s="130" t="e">
        <f t="shared" si="28"/>
        <v>#DIV/0!</v>
      </c>
      <c r="T94" s="38"/>
    </row>
    <row r="95" spans="1:21" s="7" customFormat="1" ht="63" customHeight="1">
      <c r="A95" s="7">
        <v>2</v>
      </c>
      <c r="B95" s="7">
        <v>23</v>
      </c>
      <c r="C95" s="32" t="s">
        <v>150</v>
      </c>
      <c r="D95" s="32" t="s">
        <v>671</v>
      </c>
      <c r="E95" s="32"/>
      <c r="F95" s="5"/>
      <c r="G95" s="33" t="s">
        <v>515</v>
      </c>
      <c r="H95" s="128">
        <f>H98+H99</f>
        <v>3.1</v>
      </c>
      <c r="I95" s="128">
        <f>I98+I99</f>
        <v>0</v>
      </c>
      <c r="J95" s="129">
        <f>I95/H95*100</f>
        <v>0</v>
      </c>
      <c r="K95" s="128"/>
      <c r="L95" s="128"/>
      <c r="M95" s="128"/>
      <c r="N95" s="128"/>
      <c r="O95" s="128"/>
      <c r="P95" s="130">
        <f t="shared" si="26"/>
        <v>3.1</v>
      </c>
      <c r="Q95" s="130">
        <f t="shared" si="25"/>
        <v>0</v>
      </c>
      <c r="R95" s="130">
        <f t="shared" si="27"/>
        <v>-3.1</v>
      </c>
      <c r="S95" s="130">
        <f t="shared" si="28"/>
        <v>0</v>
      </c>
      <c r="T95" s="14">
        <f>SUM(T96:T99)</f>
        <v>0</v>
      </c>
      <c r="U95" s="22"/>
    </row>
    <row r="96" spans="3:20" s="39" customFormat="1" ht="2.25" customHeight="1" hidden="1">
      <c r="C96" s="35" t="s">
        <v>61</v>
      </c>
      <c r="D96" s="35" t="s">
        <v>518</v>
      </c>
      <c r="E96" s="35" t="s">
        <v>505</v>
      </c>
      <c r="F96" s="36" t="s">
        <v>230</v>
      </c>
      <c r="G96" s="37" t="s">
        <v>525</v>
      </c>
      <c r="H96" s="128">
        <f>I96+L96</f>
        <v>0</v>
      </c>
      <c r="I96" s="130">
        <f>0.55-0.39101+0.14197-0.30096</f>
        <v>0</v>
      </c>
      <c r="J96" s="130"/>
      <c r="K96" s="130"/>
      <c r="L96" s="130"/>
      <c r="M96" s="130"/>
      <c r="N96" s="130"/>
      <c r="O96" s="140"/>
      <c r="P96" s="130">
        <f t="shared" si="26"/>
        <v>0</v>
      </c>
      <c r="Q96" s="130">
        <f t="shared" si="25"/>
        <v>0</v>
      </c>
      <c r="R96" s="130">
        <f t="shared" si="27"/>
        <v>0</v>
      </c>
      <c r="S96" s="130" t="e">
        <f t="shared" si="28"/>
        <v>#DIV/0!</v>
      </c>
      <c r="T96" s="38"/>
    </row>
    <row r="97" spans="3:20" s="46" customFormat="1" ht="2.25" customHeight="1" hidden="1">
      <c r="C97" s="35" t="s">
        <v>519</v>
      </c>
      <c r="D97" s="47" t="s">
        <v>520</v>
      </c>
      <c r="E97" s="47" t="s">
        <v>505</v>
      </c>
      <c r="F97" s="36" t="s">
        <v>254</v>
      </c>
      <c r="G97" s="37" t="s">
        <v>526</v>
      </c>
      <c r="H97" s="128">
        <f>I97+L97</f>
        <v>0</v>
      </c>
      <c r="I97" s="140"/>
      <c r="J97" s="141"/>
      <c r="K97" s="141"/>
      <c r="L97" s="141"/>
      <c r="M97" s="130"/>
      <c r="N97" s="130"/>
      <c r="O97" s="140"/>
      <c r="P97" s="130">
        <f t="shared" si="26"/>
        <v>0</v>
      </c>
      <c r="Q97" s="130">
        <f t="shared" si="25"/>
        <v>0</v>
      </c>
      <c r="R97" s="130">
        <f t="shared" si="27"/>
        <v>0</v>
      </c>
      <c r="S97" s="130" t="e">
        <f t="shared" si="28"/>
        <v>#DIV/0!</v>
      </c>
      <c r="T97" s="195"/>
    </row>
    <row r="98" spans="3:20" s="39" customFormat="1" ht="117.75" customHeight="1">
      <c r="C98" s="35" t="s">
        <v>65</v>
      </c>
      <c r="D98" s="35" t="s">
        <v>521</v>
      </c>
      <c r="E98" s="35" t="s">
        <v>479</v>
      </c>
      <c r="F98" s="36" t="s">
        <v>255</v>
      </c>
      <c r="G98" s="37" t="s">
        <v>516</v>
      </c>
      <c r="H98" s="128">
        <v>1</v>
      </c>
      <c r="I98" s="130">
        <v>0</v>
      </c>
      <c r="J98" s="129">
        <f aca="true" t="shared" si="29" ref="J98:J161">I98/H98*100</f>
        <v>0</v>
      </c>
      <c r="K98" s="130"/>
      <c r="L98" s="130"/>
      <c r="M98" s="130"/>
      <c r="N98" s="130"/>
      <c r="O98" s="140"/>
      <c r="P98" s="130">
        <f t="shared" si="26"/>
        <v>1</v>
      </c>
      <c r="Q98" s="130">
        <f t="shared" si="25"/>
        <v>0</v>
      </c>
      <c r="R98" s="130">
        <f t="shared" si="27"/>
        <v>-1</v>
      </c>
      <c r="S98" s="130">
        <f t="shared" si="28"/>
        <v>0</v>
      </c>
      <c r="T98" s="38"/>
    </row>
    <row r="99" spans="3:20" s="46" customFormat="1" ht="78.75" customHeight="1">
      <c r="C99" s="35" t="s">
        <v>82</v>
      </c>
      <c r="D99" s="35" t="s">
        <v>523</v>
      </c>
      <c r="E99" s="35" t="s">
        <v>484</v>
      </c>
      <c r="F99" s="36" t="s">
        <v>283</v>
      </c>
      <c r="G99" s="45" t="s">
        <v>522</v>
      </c>
      <c r="H99" s="128">
        <v>2.1</v>
      </c>
      <c r="I99" s="130">
        <v>0</v>
      </c>
      <c r="J99" s="129">
        <f t="shared" si="29"/>
        <v>0</v>
      </c>
      <c r="K99" s="130"/>
      <c r="L99" s="130"/>
      <c r="M99" s="130"/>
      <c r="N99" s="130"/>
      <c r="O99" s="140"/>
      <c r="P99" s="130">
        <f>H99+K99</f>
        <v>2.1</v>
      </c>
      <c r="Q99" s="130">
        <f t="shared" si="25"/>
        <v>0</v>
      </c>
      <c r="R99" s="130">
        <f>Q99-P99</f>
        <v>-2.1</v>
      </c>
      <c r="S99" s="130">
        <f>Q99/P99*100</f>
        <v>0</v>
      </c>
      <c r="T99" s="38"/>
    </row>
    <row r="100" spans="1:21" s="68" customFormat="1" ht="204" customHeight="1">
      <c r="A100" s="68">
        <v>3</v>
      </c>
      <c r="B100" s="78">
        <v>24</v>
      </c>
      <c r="C100" s="32" t="s">
        <v>153</v>
      </c>
      <c r="D100" s="32" t="s">
        <v>524</v>
      </c>
      <c r="E100" s="32" t="s">
        <v>505</v>
      </c>
      <c r="F100" s="5"/>
      <c r="G100" s="33" t="s">
        <v>527</v>
      </c>
      <c r="H100" s="128">
        <f>H103+H107+H109+H101+H105</f>
        <v>1131</v>
      </c>
      <c r="I100" s="128">
        <f>I103+I107+I109+I101+I105</f>
        <v>144.34882</v>
      </c>
      <c r="J100" s="129">
        <f t="shared" si="29"/>
        <v>12.762937223695845</v>
      </c>
      <c r="K100" s="128"/>
      <c r="L100" s="128"/>
      <c r="M100" s="128"/>
      <c r="N100" s="128"/>
      <c r="O100" s="128"/>
      <c r="P100" s="130">
        <f>H100+K100</f>
        <v>1131</v>
      </c>
      <c r="Q100" s="130">
        <f t="shared" si="25"/>
        <v>144.34882</v>
      </c>
      <c r="R100" s="130">
        <f>Q100-P100</f>
        <v>-986.6511800000001</v>
      </c>
      <c r="S100" s="130">
        <f>Q100/P100*100</f>
        <v>12.762937223695845</v>
      </c>
      <c r="T100" s="14">
        <f>T103+T107+T109+T101</f>
        <v>0</v>
      </c>
      <c r="U100" s="22"/>
    </row>
    <row r="101" spans="2:21" s="46" customFormat="1" ht="259.5" customHeight="1">
      <c r="B101" s="120"/>
      <c r="C101" s="35" t="s">
        <v>706</v>
      </c>
      <c r="D101" s="35" t="s">
        <v>707</v>
      </c>
      <c r="E101" s="35" t="s">
        <v>505</v>
      </c>
      <c r="F101" s="36"/>
      <c r="G101" s="45" t="s">
        <v>705</v>
      </c>
      <c r="H101" s="130">
        <f>H102</f>
        <v>75</v>
      </c>
      <c r="I101" s="130">
        <f>I102</f>
        <v>0</v>
      </c>
      <c r="J101" s="129">
        <f t="shared" si="29"/>
        <v>0</v>
      </c>
      <c r="K101" s="130"/>
      <c r="L101" s="130"/>
      <c r="M101" s="130"/>
      <c r="N101" s="130"/>
      <c r="O101" s="130"/>
      <c r="P101" s="130">
        <f aca="true" t="shared" si="30" ref="P101:P111">H101+K101</f>
        <v>75</v>
      </c>
      <c r="Q101" s="130">
        <f t="shared" si="25"/>
        <v>0</v>
      </c>
      <c r="R101" s="130">
        <f aca="true" t="shared" si="31" ref="R101:R111">Q101-P101</f>
        <v>-75</v>
      </c>
      <c r="S101" s="130">
        <f aca="true" t="shared" si="32" ref="S101:S111">Q101/P101*100</f>
        <v>0</v>
      </c>
      <c r="T101" s="38">
        <f>T102</f>
        <v>0</v>
      </c>
      <c r="U101" s="54"/>
    </row>
    <row r="102" spans="2:21" s="68" customFormat="1" ht="40.5" customHeight="1">
      <c r="B102" s="78"/>
      <c r="C102" s="32"/>
      <c r="D102" s="32"/>
      <c r="E102" s="32"/>
      <c r="F102" s="5"/>
      <c r="G102" s="37" t="s">
        <v>529</v>
      </c>
      <c r="H102" s="130">
        <v>75</v>
      </c>
      <c r="I102" s="130">
        <v>0</v>
      </c>
      <c r="J102" s="129">
        <f t="shared" si="29"/>
        <v>0</v>
      </c>
      <c r="K102" s="130"/>
      <c r="L102" s="130"/>
      <c r="M102" s="130"/>
      <c r="N102" s="130"/>
      <c r="O102" s="140"/>
      <c r="P102" s="130">
        <f t="shared" si="30"/>
        <v>75</v>
      </c>
      <c r="Q102" s="130">
        <f t="shared" si="25"/>
        <v>0</v>
      </c>
      <c r="R102" s="130">
        <f t="shared" si="31"/>
        <v>-75</v>
      </c>
      <c r="S102" s="130">
        <f t="shared" si="32"/>
        <v>0</v>
      </c>
      <c r="T102" s="38"/>
      <c r="U102" s="22"/>
    </row>
    <row r="103" spans="2:21" s="46" customFormat="1" ht="101.25" customHeight="1">
      <c r="B103" s="120"/>
      <c r="C103" s="35" t="s">
        <v>673</v>
      </c>
      <c r="D103" s="35" t="s">
        <v>674</v>
      </c>
      <c r="E103" s="35" t="s">
        <v>479</v>
      </c>
      <c r="F103" s="36"/>
      <c r="G103" s="45" t="s">
        <v>710</v>
      </c>
      <c r="H103" s="130">
        <f>H104</f>
        <v>36</v>
      </c>
      <c r="I103" s="130">
        <f>I104</f>
        <v>4.81001</v>
      </c>
      <c r="J103" s="129">
        <f t="shared" si="29"/>
        <v>13.36113888888889</v>
      </c>
      <c r="K103" s="130"/>
      <c r="L103" s="130"/>
      <c r="M103" s="130"/>
      <c r="N103" s="130"/>
      <c r="O103" s="130"/>
      <c r="P103" s="130">
        <f t="shared" si="30"/>
        <v>36</v>
      </c>
      <c r="Q103" s="130">
        <f t="shared" si="25"/>
        <v>4.81001</v>
      </c>
      <c r="R103" s="130">
        <f t="shared" si="31"/>
        <v>-31.18999</v>
      </c>
      <c r="S103" s="130">
        <f t="shared" si="32"/>
        <v>13.36113888888889</v>
      </c>
      <c r="T103" s="38">
        <f>T104</f>
        <v>0</v>
      </c>
      <c r="U103" s="54"/>
    </row>
    <row r="104" spans="2:21" s="46" customFormat="1" ht="37.5" customHeight="1">
      <c r="B104" s="120"/>
      <c r="C104" s="35"/>
      <c r="D104" s="35"/>
      <c r="E104" s="35"/>
      <c r="F104" s="36"/>
      <c r="G104" s="45" t="s">
        <v>529</v>
      </c>
      <c r="H104" s="130">
        <v>36</v>
      </c>
      <c r="I104" s="130">
        <v>4.81001</v>
      </c>
      <c r="J104" s="129">
        <f t="shared" si="29"/>
        <v>13.36113888888889</v>
      </c>
      <c r="K104" s="130"/>
      <c r="L104" s="130"/>
      <c r="M104" s="130"/>
      <c r="N104" s="130"/>
      <c r="O104" s="140"/>
      <c r="P104" s="130">
        <f t="shared" si="30"/>
        <v>36</v>
      </c>
      <c r="Q104" s="130">
        <f t="shared" si="25"/>
        <v>4.81001</v>
      </c>
      <c r="R104" s="130">
        <f t="shared" si="31"/>
        <v>-31.18999</v>
      </c>
      <c r="S104" s="130">
        <f t="shared" si="32"/>
        <v>13.36113888888889</v>
      </c>
      <c r="T104" s="38"/>
      <c r="U104" s="54"/>
    </row>
    <row r="105" spans="2:21" s="46" customFormat="1" ht="42.75" customHeight="1">
      <c r="B105" s="120"/>
      <c r="C105" s="35" t="s">
        <v>708</v>
      </c>
      <c r="D105" s="35" t="s">
        <v>709</v>
      </c>
      <c r="E105" s="35" t="s">
        <v>479</v>
      </c>
      <c r="F105" s="36"/>
      <c r="G105" s="45" t="s">
        <v>711</v>
      </c>
      <c r="H105" s="130">
        <f>H106</f>
        <v>240</v>
      </c>
      <c r="I105" s="130">
        <f>I106</f>
        <v>70.02071</v>
      </c>
      <c r="J105" s="129">
        <f t="shared" si="29"/>
        <v>29.17529583333333</v>
      </c>
      <c r="K105" s="130"/>
      <c r="L105" s="130"/>
      <c r="M105" s="130"/>
      <c r="N105" s="130"/>
      <c r="O105" s="130"/>
      <c r="P105" s="130">
        <f t="shared" si="30"/>
        <v>240</v>
      </c>
      <c r="Q105" s="130">
        <f t="shared" si="25"/>
        <v>70.02071</v>
      </c>
      <c r="R105" s="130">
        <f t="shared" si="31"/>
        <v>-169.97929</v>
      </c>
      <c r="S105" s="130">
        <f t="shared" si="32"/>
        <v>29.17529583333333</v>
      </c>
      <c r="T105" s="38">
        <f>T106</f>
        <v>0</v>
      </c>
      <c r="U105" s="54"/>
    </row>
    <row r="106" spans="2:21" s="46" customFormat="1" ht="42.75" customHeight="1">
      <c r="B106" s="120"/>
      <c r="C106" s="35"/>
      <c r="D106" s="35"/>
      <c r="E106" s="35"/>
      <c r="F106" s="36"/>
      <c r="G106" s="45" t="s">
        <v>529</v>
      </c>
      <c r="H106" s="130">
        <v>240</v>
      </c>
      <c r="I106" s="130">
        <v>70.02071</v>
      </c>
      <c r="J106" s="129">
        <f t="shared" si="29"/>
        <v>29.17529583333333</v>
      </c>
      <c r="K106" s="130"/>
      <c r="L106" s="130"/>
      <c r="M106" s="130"/>
      <c r="N106" s="130"/>
      <c r="O106" s="140"/>
      <c r="P106" s="130">
        <f t="shared" si="30"/>
        <v>240</v>
      </c>
      <c r="Q106" s="130">
        <f t="shared" si="25"/>
        <v>70.02071</v>
      </c>
      <c r="R106" s="130">
        <f t="shared" si="31"/>
        <v>-169.97929</v>
      </c>
      <c r="S106" s="130">
        <f t="shared" si="32"/>
        <v>29.17529583333333</v>
      </c>
      <c r="T106" s="38"/>
      <c r="U106" s="54"/>
    </row>
    <row r="107" spans="3:20" s="39" customFormat="1" ht="60.75" customHeight="1">
      <c r="C107" s="35" t="s">
        <v>101</v>
      </c>
      <c r="D107" s="35" t="s">
        <v>528</v>
      </c>
      <c r="E107" s="35" t="s">
        <v>479</v>
      </c>
      <c r="F107" s="36" t="s">
        <v>209</v>
      </c>
      <c r="G107" s="37" t="s">
        <v>712</v>
      </c>
      <c r="H107" s="130">
        <f>H108</f>
        <v>750</v>
      </c>
      <c r="I107" s="130">
        <f>I108</f>
        <v>66.25433</v>
      </c>
      <c r="J107" s="129">
        <f t="shared" si="29"/>
        <v>8.833910666666666</v>
      </c>
      <c r="K107" s="130"/>
      <c r="L107" s="130"/>
      <c r="M107" s="130"/>
      <c r="N107" s="130"/>
      <c r="O107" s="130"/>
      <c r="P107" s="130">
        <f t="shared" si="30"/>
        <v>750</v>
      </c>
      <c r="Q107" s="130">
        <f t="shared" si="25"/>
        <v>66.25433</v>
      </c>
      <c r="R107" s="130">
        <f t="shared" si="31"/>
        <v>-683.74567</v>
      </c>
      <c r="S107" s="130">
        <f t="shared" si="32"/>
        <v>8.833910666666666</v>
      </c>
      <c r="T107" s="38">
        <f>SUM(T108:T108)</f>
        <v>0</v>
      </c>
    </row>
    <row r="108" spans="3:20" s="39" customFormat="1" ht="40.5" customHeight="1">
      <c r="C108" s="35"/>
      <c r="D108" s="35"/>
      <c r="E108" s="35"/>
      <c r="F108" s="36"/>
      <c r="G108" s="45" t="s">
        <v>529</v>
      </c>
      <c r="H108" s="130">
        <v>750</v>
      </c>
      <c r="I108" s="130">
        <v>66.25433</v>
      </c>
      <c r="J108" s="129">
        <f t="shared" si="29"/>
        <v>8.833910666666666</v>
      </c>
      <c r="K108" s="130"/>
      <c r="L108" s="130"/>
      <c r="M108" s="130"/>
      <c r="N108" s="130"/>
      <c r="O108" s="140"/>
      <c r="P108" s="130">
        <f t="shared" si="30"/>
        <v>750</v>
      </c>
      <c r="Q108" s="130">
        <f t="shared" si="25"/>
        <v>66.25433</v>
      </c>
      <c r="R108" s="130">
        <f t="shared" si="31"/>
        <v>-683.74567</v>
      </c>
      <c r="S108" s="130">
        <f t="shared" si="32"/>
        <v>8.833910666666666</v>
      </c>
      <c r="T108" s="38"/>
    </row>
    <row r="109" spans="3:20" s="39" customFormat="1" ht="46.5" customHeight="1">
      <c r="C109" s="35" t="s">
        <v>102</v>
      </c>
      <c r="D109" s="35" t="s">
        <v>530</v>
      </c>
      <c r="E109" s="35" t="s">
        <v>479</v>
      </c>
      <c r="F109" s="36" t="s">
        <v>250</v>
      </c>
      <c r="G109" s="37" t="s">
        <v>669</v>
      </c>
      <c r="H109" s="130">
        <f>H110</f>
        <v>30</v>
      </c>
      <c r="I109" s="130">
        <f>I110</f>
        <v>3.26377</v>
      </c>
      <c r="J109" s="129">
        <f t="shared" si="29"/>
        <v>10.879233333333334</v>
      </c>
      <c r="K109" s="130"/>
      <c r="L109" s="130"/>
      <c r="M109" s="130"/>
      <c r="N109" s="130"/>
      <c r="O109" s="130"/>
      <c r="P109" s="130">
        <f t="shared" si="30"/>
        <v>30</v>
      </c>
      <c r="Q109" s="130">
        <f t="shared" si="25"/>
        <v>3.26377</v>
      </c>
      <c r="R109" s="130">
        <f t="shared" si="31"/>
        <v>-26.73623</v>
      </c>
      <c r="S109" s="130">
        <f t="shared" si="32"/>
        <v>10.879233333333334</v>
      </c>
      <c r="T109" s="38">
        <f>T110</f>
        <v>0</v>
      </c>
    </row>
    <row r="110" spans="3:20" s="39" customFormat="1" ht="42" customHeight="1">
      <c r="C110" s="35"/>
      <c r="D110" s="35"/>
      <c r="E110" s="35"/>
      <c r="F110" s="36"/>
      <c r="G110" s="45" t="s">
        <v>529</v>
      </c>
      <c r="H110" s="130">
        <v>30</v>
      </c>
      <c r="I110" s="130">
        <v>3.26377</v>
      </c>
      <c r="J110" s="129">
        <f t="shared" si="29"/>
        <v>10.879233333333334</v>
      </c>
      <c r="K110" s="130"/>
      <c r="L110" s="130"/>
      <c r="M110" s="130"/>
      <c r="N110" s="130"/>
      <c r="O110" s="140"/>
      <c r="P110" s="130">
        <f t="shared" si="30"/>
        <v>30</v>
      </c>
      <c r="Q110" s="130">
        <f t="shared" si="25"/>
        <v>3.26377</v>
      </c>
      <c r="R110" s="130">
        <f t="shared" si="31"/>
        <v>-26.73623</v>
      </c>
      <c r="S110" s="130">
        <f t="shared" si="32"/>
        <v>10.879233333333334</v>
      </c>
      <c r="T110" s="38"/>
    </row>
    <row r="111" spans="1:21" s="7" customFormat="1" ht="73.5" customHeight="1">
      <c r="A111" s="7">
        <v>4</v>
      </c>
      <c r="B111" s="7">
        <v>25</v>
      </c>
      <c r="C111" s="32" t="s">
        <v>154</v>
      </c>
      <c r="D111" s="32" t="s">
        <v>531</v>
      </c>
      <c r="E111" s="32" t="s">
        <v>482</v>
      </c>
      <c r="F111" s="5"/>
      <c r="G111" s="43" t="s">
        <v>533</v>
      </c>
      <c r="H111" s="128">
        <f>SUM(H112:H120)</f>
        <v>40058.7</v>
      </c>
      <c r="I111" s="128">
        <f>SUM(I112:I120)</f>
        <v>9266.754729999999</v>
      </c>
      <c r="J111" s="129">
        <f t="shared" si="29"/>
        <v>23.132939236670186</v>
      </c>
      <c r="K111" s="128"/>
      <c r="L111" s="128"/>
      <c r="M111" s="128"/>
      <c r="N111" s="128"/>
      <c r="O111" s="128"/>
      <c r="P111" s="130">
        <f t="shared" si="30"/>
        <v>40058.7</v>
      </c>
      <c r="Q111" s="130">
        <f t="shared" si="25"/>
        <v>9266.754729999999</v>
      </c>
      <c r="R111" s="130">
        <f t="shared" si="31"/>
        <v>-30791.945269999997</v>
      </c>
      <c r="S111" s="130">
        <f t="shared" si="32"/>
        <v>23.132939236670186</v>
      </c>
      <c r="T111" s="14">
        <f>SUM(T112:T120)</f>
        <v>0</v>
      </c>
      <c r="U111" s="22"/>
    </row>
    <row r="112" spans="3:20" s="39" customFormat="1" ht="39" customHeight="1">
      <c r="C112" s="35" t="s">
        <v>72</v>
      </c>
      <c r="D112" s="35" t="s">
        <v>535</v>
      </c>
      <c r="E112" s="35" t="s">
        <v>482</v>
      </c>
      <c r="F112" s="36" t="s">
        <v>232</v>
      </c>
      <c r="G112" s="45" t="s">
        <v>532</v>
      </c>
      <c r="H112" s="130">
        <v>500</v>
      </c>
      <c r="I112" s="130">
        <v>94.38225</v>
      </c>
      <c r="J112" s="129">
        <f t="shared" si="29"/>
        <v>18.87645</v>
      </c>
      <c r="K112" s="130"/>
      <c r="L112" s="130"/>
      <c r="M112" s="130"/>
      <c r="N112" s="130"/>
      <c r="O112" s="140"/>
      <c r="P112" s="130">
        <f aca="true" t="shared" si="33" ref="P112:P117">H112+K112</f>
        <v>500</v>
      </c>
      <c r="Q112" s="130">
        <f t="shared" si="25"/>
        <v>94.38225</v>
      </c>
      <c r="R112" s="130">
        <f aca="true" t="shared" si="34" ref="R112:R117">Q112-P112</f>
        <v>-405.61775</v>
      </c>
      <c r="S112" s="130">
        <f aca="true" t="shared" si="35" ref="S112:S117">Q112/P112*100</f>
        <v>18.87645</v>
      </c>
      <c r="T112" s="38"/>
    </row>
    <row r="113" spans="3:20" s="39" customFormat="1" ht="42.75" customHeight="1">
      <c r="C113" s="35" t="s">
        <v>73</v>
      </c>
      <c r="D113" s="35" t="s">
        <v>536</v>
      </c>
      <c r="E113" s="35" t="s">
        <v>482</v>
      </c>
      <c r="F113" s="36" t="s">
        <v>233</v>
      </c>
      <c r="G113" s="45" t="s">
        <v>665</v>
      </c>
      <c r="H113" s="130">
        <v>210</v>
      </c>
      <c r="I113" s="130">
        <v>17.91287</v>
      </c>
      <c r="J113" s="129">
        <f t="shared" si="29"/>
        <v>8.529938095238096</v>
      </c>
      <c r="K113" s="130"/>
      <c r="L113" s="130"/>
      <c r="M113" s="130"/>
      <c r="N113" s="130"/>
      <c r="O113" s="140"/>
      <c r="P113" s="130">
        <f t="shared" si="33"/>
        <v>210</v>
      </c>
      <c r="Q113" s="130">
        <f t="shared" si="25"/>
        <v>17.91287</v>
      </c>
      <c r="R113" s="130">
        <f t="shared" si="34"/>
        <v>-192.08713</v>
      </c>
      <c r="S113" s="130">
        <f t="shared" si="35"/>
        <v>8.529938095238096</v>
      </c>
      <c r="T113" s="38"/>
    </row>
    <row r="114" spans="3:20" s="39" customFormat="1" ht="42.75" customHeight="1">
      <c r="C114" s="35" t="s">
        <v>74</v>
      </c>
      <c r="D114" s="35" t="s">
        <v>537</v>
      </c>
      <c r="E114" s="35" t="s">
        <v>482</v>
      </c>
      <c r="F114" s="36" t="s">
        <v>234</v>
      </c>
      <c r="G114" s="45" t="s">
        <v>534</v>
      </c>
      <c r="H114" s="130">
        <f>21000-70.56965</f>
        <v>20929.43035</v>
      </c>
      <c r="I114" s="130">
        <v>4883.96542</v>
      </c>
      <c r="J114" s="129">
        <f t="shared" si="29"/>
        <v>23.335395843680956</v>
      </c>
      <c r="K114" s="130"/>
      <c r="L114" s="130"/>
      <c r="M114" s="130"/>
      <c r="N114" s="130"/>
      <c r="O114" s="140"/>
      <c r="P114" s="130">
        <f t="shared" si="33"/>
        <v>20929.43035</v>
      </c>
      <c r="Q114" s="130">
        <f t="shared" si="25"/>
        <v>4883.96542</v>
      </c>
      <c r="R114" s="130">
        <f t="shared" si="34"/>
        <v>-16045.464929999998</v>
      </c>
      <c r="S114" s="130">
        <f t="shared" si="35"/>
        <v>23.335395843680956</v>
      </c>
      <c r="T114" s="38"/>
    </row>
    <row r="115" spans="3:20" s="39" customFormat="1" ht="45" customHeight="1">
      <c r="C115" s="35" t="s">
        <v>75</v>
      </c>
      <c r="D115" s="35" t="s">
        <v>538</v>
      </c>
      <c r="E115" s="35" t="s">
        <v>482</v>
      </c>
      <c r="F115" s="36" t="s">
        <v>235</v>
      </c>
      <c r="G115" s="45" t="s">
        <v>545</v>
      </c>
      <c r="H115" s="130">
        <f>2900+23.772</f>
        <v>2923.772</v>
      </c>
      <c r="I115" s="130">
        <v>627.29282</v>
      </c>
      <c r="J115" s="129">
        <f t="shared" si="29"/>
        <v>21.454915773186144</v>
      </c>
      <c r="K115" s="130"/>
      <c r="L115" s="130"/>
      <c r="M115" s="130"/>
      <c r="N115" s="130"/>
      <c r="O115" s="140"/>
      <c r="P115" s="130">
        <f t="shared" si="33"/>
        <v>2923.772</v>
      </c>
      <c r="Q115" s="130">
        <f t="shared" si="25"/>
        <v>627.29282</v>
      </c>
      <c r="R115" s="130">
        <f t="shared" si="34"/>
        <v>-2296.47918</v>
      </c>
      <c r="S115" s="130">
        <f t="shared" si="35"/>
        <v>21.454915773186144</v>
      </c>
      <c r="T115" s="38"/>
    </row>
    <row r="116" spans="3:20" s="39" customFormat="1" ht="51.75" customHeight="1">
      <c r="C116" s="35" t="s">
        <v>76</v>
      </c>
      <c r="D116" s="35" t="s">
        <v>539</v>
      </c>
      <c r="E116" s="35" t="s">
        <v>482</v>
      </c>
      <c r="F116" s="36" t="s">
        <v>236</v>
      </c>
      <c r="G116" s="45" t="s">
        <v>77</v>
      </c>
      <c r="H116" s="130">
        <f>4000+43.37673</f>
        <v>4043.37673</v>
      </c>
      <c r="I116" s="130">
        <v>903.37673</v>
      </c>
      <c r="J116" s="129">
        <f t="shared" si="29"/>
        <v>22.342136049242185</v>
      </c>
      <c r="K116" s="130"/>
      <c r="L116" s="130"/>
      <c r="M116" s="130"/>
      <c r="N116" s="130"/>
      <c r="O116" s="140"/>
      <c r="P116" s="130">
        <f t="shared" si="33"/>
        <v>4043.37673</v>
      </c>
      <c r="Q116" s="130">
        <f t="shared" si="25"/>
        <v>903.37673</v>
      </c>
      <c r="R116" s="130">
        <f t="shared" si="34"/>
        <v>-3140</v>
      </c>
      <c r="S116" s="130">
        <f t="shared" si="35"/>
        <v>22.342136049242185</v>
      </c>
      <c r="T116" s="38"/>
    </row>
    <row r="117" spans="3:20" s="39" customFormat="1" ht="55.5" customHeight="1">
      <c r="C117" s="35" t="s">
        <v>78</v>
      </c>
      <c r="D117" s="35" t="s">
        <v>540</v>
      </c>
      <c r="E117" s="35" t="s">
        <v>482</v>
      </c>
      <c r="F117" s="36" t="s">
        <v>256</v>
      </c>
      <c r="G117" s="45" t="s">
        <v>546</v>
      </c>
      <c r="H117" s="130">
        <f>600+3.42092</f>
        <v>603.42092</v>
      </c>
      <c r="I117" s="130">
        <v>34.42092</v>
      </c>
      <c r="J117" s="129">
        <f t="shared" si="29"/>
        <v>5.704296761868979</v>
      </c>
      <c r="K117" s="130"/>
      <c r="L117" s="130"/>
      <c r="M117" s="130"/>
      <c r="N117" s="130"/>
      <c r="O117" s="140"/>
      <c r="P117" s="130">
        <f t="shared" si="33"/>
        <v>603.42092</v>
      </c>
      <c r="Q117" s="130">
        <f t="shared" si="25"/>
        <v>34.42092</v>
      </c>
      <c r="R117" s="130">
        <f t="shared" si="34"/>
        <v>-569</v>
      </c>
      <c r="S117" s="130">
        <f t="shared" si="35"/>
        <v>5.704296761868979</v>
      </c>
      <c r="T117" s="38"/>
    </row>
    <row r="118" spans="3:20" s="39" customFormat="1" ht="52.5" customHeight="1">
      <c r="C118" s="35" t="s">
        <v>79</v>
      </c>
      <c r="D118" s="35" t="s">
        <v>541</v>
      </c>
      <c r="E118" s="35" t="s">
        <v>482</v>
      </c>
      <c r="F118" s="36" t="s">
        <v>46</v>
      </c>
      <c r="G118" s="45" t="s">
        <v>547</v>
      </c>
      <c r="H118" s="130">
        <v>300</v>
      </c>
      <c r="I118" s="130">
        <v>15.48</v>
      </c>
      <c r="J118" s="129">
        <f t="shared" si="29"/>
        <v>5.16</v>
      </c>
      <c r="K118" s="130"/>
      <c r="L118" s="130"/>
      <c r="M118" s="130"/>
      <c r="N118" s="130"/>
      <c r="O118" s="140"/>
      <c r="P118" s="130">
        <f aca="true" t="shared" si="36" ref="P118:P130">H118+K118</f>
        <v>300</v>
      </c>
      <c r="Q118" s="130">
        <f t="shared" si="25"/>
        <v>15.48</v>
      </c>
      <c r="R118" s="130">
        <f aca="true" t="shared" si="37" ref="R118:R130">Q118-P118</f>
        <v>-284.52</v>
      </c>
      <c r="S118" s="130">
        <f aca="true" t="shared" si="38" ref="S118:S130">Q118/P118*100</f>
        <v>5.16</v>
      </c>
      <c r="T118" s="38"/>
    </row>
    <row r="119" spans="3:20" s="39" customFormat="1" ht="69" customHeight="1">
      <c r="C119" s="35" t="s">
        <v>80</v>
      </c>
      <c r="D119" s="35" t="s">
        <v>542</v>
      </c>
      <c r="E119" s="35" t="s">
        <v>482</v>
      </c>
      <c r="F119" s="36" t="s">
        <v>211</v>
      </c>
      <c r="G119" s="45" t="s">
        <v>548</v>
      </c>
      <c r="H119" s="130">
        <v>5700</v>
      </c>
      <c r="I119" s="130">
        <v>1452.39921</v>
      </c>
      <c r="J119" s="129">
        <f t="shared" si="29"/>
        <v>25.480687894736842</v>
      </c>
      <c r="K119" s="130"/>
      <c r="L119" s="130"/>
      <c r="M119" s="130"/>
      <c r="N119" s="130"/>
      <c r="O119" s="140"/>
      <c r="P119" s="130">
        <f t="shared" si="36"/>
        <v>5700</v>
      </c>
      <c r="Q119" s="130">
        <f t="shared" si="25"/>
        <v>1452.39921</v>
      </c>
      <c r="R119" s="130">
        <f t="shared" si="37"/>
        <v>-4247.60079</v>
      </c>
      <c r="S119" s="130">
        <f t="shared" si="38"/>
        <v>25.480687894736842</v>
      </c>
      <c r="T119" s="38"/>
    </row>
    <row r="120" spans="3:20" s="39" customFormat="1" ht="69" customHeight="1">
      <c r="C120" s="35" t="s">
        <v>98</v>
      </c>
      <c r="D120" s="35" t="s">
        <v>543</v>
      </c>
      <c r="E120" s="35" t="s">
        <v>460</v>
      </c>
      <c r="F120" s="36" t="s">
        <v>219</v>
      </c>
      <c r="G120" s="45" t="s">
        <v>549</v>
      </c>
      <c r="H120" s="130">
        <v>4848.7</v>
      </c>
      <c r="I120" s="130">
        <v>1237.52451</v>
      </c>
      <c r="J120" s="129">
        <f t="shared" si="29"/>
        <v>25.522810444036548</v>
      </c>
      <c r="K120" s="130"/>
      <c r="L120" s="130"/>
      <c r="M120" s="130"/>
      <c r="N120" s="130"/>
      <c r="O120" s="140"/>
      <c r="P120" s="130">
        <f t="shared" si="36"/>
        <v>4848.7</v>
      </c>
      <c r="Q120" s="130">
        <f t="shared" si="25"/>
        <v>1237.52451</v>
      </c>
      <c r="R120" s="130">
        <f t="shared" si="37"/>
        <v>-3611.1754899999996</v>
      </c>
      <c r="S120" s="130">
        <f t="shared" si="38"/>
        <v>25.522810444036548</v>
      </c>
      <c r="T120" s="38"/>
    </row>
    <row r="121" spans="1:20" s="7" customFormat="1" ht="69" customHeight="1">
      <c r="A121" s="7">
        <v>5</v>
      </c>
      <c r="B121" s="7">
        <v>26</v>
      </c>
      <c r="C121" s="32" t="s">
        <v>70</v>
      </c>
      <c r="D121" s="32" t="s">
        <v>544</v>
      </c>
      <c r="E121" s="32" t="s">
        <v>479</v>
      </c>
      <c r="F121" s="5" t="s">
        <v>264</v>
      </c>
      <c r="G121" s="43" t="s">
        <v>659</v>
      </c>
      <c r="H121" s="128">
        <v>233.7</v>
      </c>
      <c r="I121" s="128">
        <v>52.94561</v>
      </c>
      <c r="J121" s="129">
        <f t="shared" si="29"/>
        <v>22.655374411638853</v>
      </c>
      <c r="K121" s="128"/>
      <c r="L121" s="128"/>
      <c r="M121" s="128"/>
      <c r="N121" s="128"/>
      <c r="O121" s="185"/>
      <c r="P121" s="130">
        <f t="shared" si="36"/>
        <v>233.7</v>
      </c>
      <c r="Q121" s="130">
        <f t="shared" si="25"/>
        <v>52.94561</v>
      </c>
      <c r="R121" s="130">
        <f t="shared" si="37"/>
        <v>-180.75439</v>
      </c>
      <c r="S121" s="130">
        <f t="shared" si="38"/>
        <v>22.655374411638853</v>
      </c>
      <c r="T121" s="14"/>
    </row>
    <row r="122" spans="1:20" s="7" customFormat="1" ht="60.75" customHeight="1">
      <c r="A122" s="7">
        <v>6</v>
      </c>
      <c r="B122" s="7">
        <v>27</v>
      </c>
      <c r="C122" s="32" t="s">
        <v>85</v>
      </c>
      <c r="D122" s="32" t="s">
        <v>550</v>
      </c>
      <c r="E122" s="32" t="s">
        <v>460</v>
      </c>
      <c r="F122" s="5" t="s">
        <v>212</v>
      </c>
      <c r="G122" s="43" t="s">
        <v>551</v>
      </c>
      <c r="H122" s="128">
        <v>350</v>
      </c>
      <c r="I122" s="128">
        <v>54.41257</v>
      </c>
      <c r="J122" s="129">
        <f t="shared" si="29"/>
        <v>15.546448571428574</v>
      </c>
      <c r="K122" s="128"/>
      <c r="L122" s="128"/>
      <c r="M122" s="128"/>
      <c r="N122" s="128"/>
      <c r="O122" s="128"/>
      <c r="P122" s="130">
        <f t="shared" si="36"/>
        <v>350</v>
      </c>
      <c r="Q122" s="130">
        <f t="shared" si="25"/>
        <v>54.41257</v>
      </c>
      <c r="R122" s="130">
        <f t="shared" si="37"/>
        <v>-295.58743</v>
      </c>
      <c r="S122" s="130">
        <f t="shared" si="38"/>
        <v>15.546448571428574</v>
      </c>
      <c r="T122" s="14"/>
    </row>
    <row r="123" spans="1:20" s="7" customFormat="1" ht="48.75" customHeight="1">
      <c r="A123" s="7">
        <v>7</v>
      </c>
      <c r="B123" s="7">
        <v>28</v>
      </c>
      <c r="C123" s="32" t="s">
        <v>87</v>
      </c>
      <c r="D123" s="32" t="s">
        <v>552</v>
      </c>
      <c r="E123" s="32" t="s">
        <v>505</v>
      </c>
      <c r="F123" s="5" t="s">
        <v>251</v>
      </c>
      <c r="G123" s="33" t="s">
        <v>658</v>
      </c>
      <c r="H123" s="128">
        <v>26.4</v>
      </c>
      <c r="I123" s="128">
        <v>3.2932</v>
      </c>
      <c r="J123" s="129">
        <f t="shared" si="29"/>
        <v>12.474242424242425</v>
      </c>
      <c r="K123" s="128"/>
      <c r="L123" s="128"/>
      <c r="M123" s="128"/>
      <c r="N123" s="128"/>
      <c r="O123" s="185"/>
      <c r="P123" s="130">
        <f t="shared" si="36"/>
        <v>26.4</v>
      </c>
      <c r="Q123" s="130">
        <f t="shared" si="25"/>
        <v>3.2932</v>
      </c>
      <c r="R123" s="130">
        <f t="shared" si="37"/>
        <v>-23.1068</v>
      </c>
      <c r="S123" s="130">
        <f t="shared" si="38"/>
        <v>12.474242424242425</v>
      </c>
      <c r="T123" s="14"/>
    </row>
    <row r="124" spans="1:21" s="7" customFormat="1" ht="67.5" customHeight="1">
      <c r="A124" s="7">
        <v>8</v>
      </c>
      <c r="B124" s="7">
        <v>29</v>
      </c>
      <c r="C124" s="32" t="s">
        <v>155</v>
      </c>
      <c r="D124" s="32" t="s">
        <v>670</v>
      </c>
      <c r="E124" s="32" t="s">
        <v>463</v>
      </c>
      <c r="F124" s="5"/>
      <c r="G124" s="33" t="s">
        <v>157</v>
      </c>
      <c r="H124" s="128">
        <f>H125</f>
        <v>4315.3</v>
      </c>
      <c r="I124" s="128">
        <f>I125</f>
        <v>868.54852</v>
      </c>
      <c r="J124" s="129">
        <f t="shared" si="29"/>
        <v>20.127187449308277</v>
      </c>
      <c r="K124" s="128">
        <f>K125</f>
        <v>66.93</v>
      </c>
      <c r="L124" s="128">
        <f>L125</f>
        <v>0</v>
      </c>
      <c r="M124" s="128">
        <f>M125</f>
        <v>10.69424</v>
      </c>
      <c r="N124" s="128">
        <f>N125</f>
        <v>0</v>
      </c>
      <c r="O124" s="128">
        <f>M124/K124*100</f>
        <v>15.9782459285821</v>
      </c>
      <c r="P124" s="130">
        <f t="shared" si="36"/>
        <v>4382.2300000000005</v>
      </c>
      <c r="Q124" s="130">
        <f t="shared" si="25"/>
        <v>879.2427600000001</v>
      </c>
      <c r="R124" s="130">
        <f t="shared" si="37"/>
        <v>-3502.9872400000004</v>
      </c>
      <c r="S124" s="130">
        <f t="shared" si="38"/>
        <v>20.06382047496366</v>
      </c>
      <c r="T124" s="14">
        <f>SUM(T125:T125)</f>
        <v>0</v>
      </c>
      <c r="U124" s="22"/>
    </row>
    <row r="125" spans="3:20" s="39" customFormat="1" ht="129" customHeight="1">
      <c r="C125" s="35" t="s">
        <v>88</v>
      </c>
      <c r="D125" s="35" t="s">
        <v>553</v>
      </c>
      <c r="E125" s="35" t="s">
        <v>463</v>
      </c>
      <c r="F125" s="36" t="s">
        <v>208</v>
      </c>
      <c r="G125" s="45" t="s">
        <v>554</v>
      </c>
      <c r="H125" s="130">
        <v>4315.3</v>
      </c>
      <c r="I125" s="130">
        <v>868.54852</v>
      </c>
      <c r="J125" s="129">
        <f t="shared" si="29"/>
        <v>20.127187449308277</v>
      </c>
      <c r="K125" s="134">
        <f>66.93</f>
        <v>66.93</v>
      </c>
      <c r="L125" s="130"/>
      <c r="M125" s="137">
        <v>10.69424</v>
      </c>
      <c r="N125" s="128">
        <v>0</v>
      </c>
      <c r="O125" s="128">
        <f>M125/K125*100</f>
        <v>15.9782459285821</v>
      </c>
      <c r="P125" s="130">
        <f t="shared" si="36"/>
        <v>4382.2300000000005</v>
      </c>
      <c r="Q125" s="130">
        <f t="shared" si="25"/>
        <v>879.2427600000001</v>
      </c>
      <c r="R125" s="130">
        <f t="shared" si="37"/>
        <v>-3502.9872400000004</v>
      </c>
      <c r="S125" s="130">
        <f t="shared" si="38"/>
        <v>20.06382047496366</v>
      </c>
      <c r="T125" s="38"/>
    </row>
    <row r="126" spans="1:21" s="18" customFormat="1" ht="92.25" customHeight="1">
      <c r="A126" s="18">
        <v>9</v>
      </c>
      <c r="B126" s="18">
        <v>30</v>
      </c>
      <c r="C126" s="32" t="s">
        <v>159</v>
      </c>
      <c r="D126" s="32" t="s">
        <v>556</v>
      </c>
      <c r="E126" s="32" t="s">
        <v>460</v>
      </c>
      <c r="F126" s="5"/>
      <c r="G126" s="33" t="s">
        <v>158</v>
      </c>
      <c r="H126" s="128">
        <f>SUM(H127:H129)</f>
        <v>208.79999999999998</v>
      </c>
      <c r="I126" s="128">
        <f>SUM(I127:I129)</f>
        <v>34.35442</v>
      </c>
      <c r="J126" s="129">
        <f t="shared" si="29"/>
        <v>16.453266283524904</v>
      </c>
      <c r="K126" s="128"/>
      <c r="L126" s="128"/>
      <c r="M126" s="128"/>
      <c r="N126" s="128"/>
      <c r="O126" s="128"/>
      <c r="P126" s="130">
        <f t="shared" si="36"/>
        <v>208.79999999999998</v>
      </c>
      <c r="Q126" s="130">
        <f t="shared" si="25"/>
        <v>34.35442</v>
      </c>
      <c r="R126" s="130">
        <f t="shared" si="37"/>
        <v>-174.44557999999998</v>
      </c>
      <c r="S126" s="130">
        <f t="shared" si="38"/>
        <v>16.453266283524904</v>
      </c>
      <c r="T126" s="14">
        <f>SUM(T127:T129)</f>
        <v>0</v>
      </c>
      <c r="U126" s="69"/>
    </row>
    <row r="127" spans="3:20" s="39" customFormat="1" ht="102.75" customHeight="1">
      <c r="C127" s="35" t="s">
        <v>90</v>
      </c>
      <c r="D127" s="35" t="s">
        <v>555</v>
      </c>
      <c r="E127" s="35" t="s">
        <v>460</v>
      </c>
      <c r="F127" s="36" t="s">
        <v>285</v>
      </c>
      <c r="G127" s="37" t="s">
        <v>89</v>
      </c>
      <c r="H127" s="130">
        <v>200</v>
      </c>
      <c r="I127" s="130">
        <v>34.35442</v>
      </c>
      <c r="J127" s="129">
        <f t="shared" si="29"/>
        <v>17.17721</v>
      </c>
      <c r="K127" s="130"/>
      <c r="L127" s="130"/>
      <c r="M127" s="130"/>
      <c r="N127" s="130"/>
      <c r="O127" s="130"/>
      <c r="P127" s="130">
        <f t="shared" si="36"/>
        <v>200</v>
      </c>
      <c r="Q127" s="130">
        <f t="shared" si="25"/>
        <v>34.35442</v>
      </c>
      <c r="R127" s="130">
        <f t="shared" si="37"/>
        <v>-165.64558</v>
      </c>
      <c r="S127" s="130">
        <f t="shared" si="38"/>
        <v>17.17721</v>
      </c>
      <c r="T127" s="38"/>
    </row>
    <row r="128" spans="3:20" s="39" customFormat="1" ht="87" customHeight="1">
      <c r="C128" s="35" t="s">
        <v>99</v>
      </c>
      <c r="D128" s="35" t="s">
        <v>557</v>
      </c>
      <c r="E128" s="35" t="s">
        <v>460</v>
      </c>
      <c r="F128" s="36" t="s">
        <v>0</v>
      </c>
      <c r="G128" s="45" t="s">
        <v>558</v>
      </c>
      <c r="H128" s="130">
        <v>8.6</v>
      </c>
      <c r="I128" s="130">
        <v>0</v>
      </c>
      <c r="J128" s="129">
        <f t="shared" si="29"/>
        <v>0</v>
      </c>
      <c r="K128" s="130"/>
      <c r="L128" s="130"/>
      <c r="M128" s="130"/>
      <c r="N128" s="130"/>
      <c r="O128" s="140"/>
      <c r="P128" s="130">
        <f t="shared" si="36"/>
        <v>8.6</v>
      </c>
      <c r="Q128" s="130">
        <f t="shared" si="25"/>
        <v>0</v>
      </c>
      <c r="R128" s="130">
        <f t="shared" si="37"/>
        <v>-8.6</v>
      </c>
      <c r="S128" s="130">
        <f t="shared" si="38"/>
        <v>0</v>
      </c>
      <c r="T128" s="38"/>
    </row>
    <row r="129" spans="3:20" s="39" customFormat="1" ht="49.5" customHeight="1">
      <c r="C129" s="35" t="s">
        <v>100</v>
      </c>
      <c r="D129" s="35" t="s">
        <v>559</v>
      </c>
      <c r="E129" s="35" t="s">
        <v>460</v>
      </c>
      <c r="F129" s="36" t="s">
        <v>1</v>
      </c>
      <c r="G129" s="45" t="s">
        <v>668</v>
      </c>
      <c r="H129" s="130">
        <v>0.2</v>
      </c>
      <c r="I129" s="130">
        <v>0</v>
      </c>
      <c r="J129" s="129">
        <f t="shared" si="29"/>
        <v>0</v>
      </c>
      <c r="K129" s="130"/>
      <c r="L129" s="130"/>
      <c r="M129" s="130"/>
      <c r="N129" s="130"/>
      <c r="O129" s="140"/>
      <c r="P129" s="130">
        <f t="shared" si="36"/>
        <v>0.2</v>
      </c>
      <c r="Q129" s="130">
        <f t="shared" si="25"/>
        <v>0</v>
      </c>
      <c r="R129" s="130">
        <f t="shared" si="37"/>
        <v>-0.2</v>
      </c>
      <c r="S129" s="130">
        <f t="shared" si="38"/>
        <v>0</v>
      </c>
      <c r="T129" s="38"/>
    </row>
    <row r="130" spans="1:21" s="7" customFormat="1" ht="98.25" customHeight="1">
      <c r="A130" s="7">
        <v>10</v>
      </c>
      <c r="B130" s="7">
        <v>31</v>
      </c>
      <c r="C130" s="32" t="s">
        <v>96</v>
      </c>
      <c r="D130" s="32" t="s">
        <v>560</v>
      </c>
      <c r="E130" s="32" t="s">
        <v>484</v>
      </c>
      <c r="F130" s="5" t="s">
        <v>214</v>
      </c>
      <c r="G130" s="43" t="s">
        <v>561</v>
      </c>
      <c r="H130" s="128">
        <f>H131+H132</f>
        <v>225</v>
      </c>
      <c r="I130" s="128">
        <f>I131+I132</f>
        <v>19.89541</v>
      </c>
      <c r="J130" s="129">
        <f t="shared" si="29"/>
        <v>8.842404444444444</v>
      </c>
      <c r="K130" s="128"/>
      <c r="L130" s="128"/>
      <c r="M130" s="128"/>
      <c r="N130" s="128"/>
      <c r="O130" s="128"/>
      <c r="P130" s="130">
        <f t="shared" si="36"/>
        <v>225</v>
      </c>
      <c r="Q130" s="130">
        <f t="shared" si="25"/>
        <v>19.89541</v>
      </c>
      <c r="R130" s="130">
        <f t="shared" si="37"/>
        <v>-205.10459</v>
      </c>
      <c r="S130" s="130">
        <f t="shared" si="38"/>
        <v>8.842404444444444</v>
      </c>
      <c r="T130" s="14">
        <f>SUM(T131:T132)</f>
        <v>0</v>
      </c>
      <c r="U130" s="22"/>
    </row>
    <row r="131" spans="3:20" s="39" customFormat="1" ht="42.75" customHeight="1">
      <c r="C131" s="35"/>
      <c r="D131" s="35"/>
      <c r="E131" s="35"/>
      <c r="F131" s="36"/>
      <c r="G131" s="37" t="s">
        <v>562</v>
      </c>
      <c r="H131" s="128">
        <v>75</v>
      </c>
      <c r="I131" s="130">
        <v>10.18958</v>
      </c>
      <c r="J131" s="129">
        <f t="shared" si="29"/>
        <v>13.586106666666668</v>
      </c>
      <c r="K131" s="130"/>
      <c r="L131" s="130"/>
      <c r="M131" s="130"/>
      <c r="N131" s="130"/>
      <c r="O131" s="130"/>
      <c r="P131" s="130">
        <f aca="true" t="shared" si="39" ref="P131:P138">H131+K131</f>
        <v>75</v>
      </c>
      <c r="Q131" s="130">
        <f t="shared" si="25"/>
        <v>10.18958</v>
      </c>
      <c r="R131" s="130">
        <f aca="true" t="shared" si="40" ref="R131:R138">Q131-P131</f>
        <v>-64.81042</v>
      </c>
      <c r="S131" s="130">
        <f aca="true" t="shared" si="41" ref="S131:S138">Q131/P131*100</f>
        <v>13.586106666666668</v>
      </c>
      <c r="T131" s="38"/>
    </row>
    <row r="132" spans="3:20" s="39" customFormat="1" ht="41.25" customHeight="1">
      <c r="C132" s="35"/>
      <c r="D132" s="35"/>
      <c r="E132" s="35"/>
      <c r="F132" s="36"/>
      <c r="G132" s="37" t="s">
        <v>630</v>
      </c>
      <c r="H132" s="130">
        <v>150</v>
      </c>
      <c r="I132" s="130">
        <v>9.70583</v>
      </c>
      <c r="J132" s="129">
        <f t="shared" si="29"/>
        <v>6.470553333333334</v>
      </c>
      <c r="K132" s="130"/>
      <c r="L132" s="130"/>
      <c r="M132" s="130"/>
      <c r="N132" s="130"/>
      <c r="O132" s="130"/>
      <c r="P132" s="130">
        <f t="shared" si="39"/>
        <v>150</v>
      </c>
      <c r="Q132" s="130">
        <f t="shared" si="25"/>
        <v>9.70583</v>
      </c>
      <c r="R132" s="130">
        <f t="shared" si="40"/>
        <v>-140.29417</v>
      </c>
      <c r="S132" s="130">
        <f t="shared" si="41"/>
        <v>6.470553333333334</v>
      </c>
      <c r="T132" s="38"/>
    </row>
    <row r="133" spans="1:21" s="7" customFormat="1" ht="29.25" customHeight="1">
      <c r="A133" s="7">
        <v>11</v>
      </c>
      <c r="B133" s="7">
        <v>32</v>
      </c>
      <c r="C133" s="32" t="s">
        <v>160</v>
      </c>
      <c r="D133" s="32" t="s">
        <v>563</v>
      </c>
      <c r="E133" s="32" t="s">
        <v>505</v>
      </c>
      <c r="F133" s="5"/>
      <c r="G133" s="43" t="s">
        <v>161</v>
      </c>
      <c r="H133" s="128">
        <f>SUM(H135:H139)</f>
        <v>1461.1</v>
      </c>
      <c r="I133" s="128">
        <f>SUM(I135:I139)</f>
        <v>122.12232</v>
      </c>
      <c r="J133" s="129">
        <f t="shared" si="29"/>
        <v>8.358245157757855</v>
      </c>
      <c r="K133" s="128"/>
      <c r="L133" s="128"/>
      <c r="M133" s="128"/>
      <c r="N133" s="128"/>
      <c r="O133" s="128"/>
      <c r="P133" s="130">
        <f t="shared" si="39"/>
        <v>1461.1</v>
      </c>
      <c r="Q133" s="130">
        <f t="shared" si="25"/>
        <v>122.12232</v>
      </c>
      <c r="R133" s="130">
        <f t="shared" si="40"/>
        <v>-1338.97768</v>
      </c>
      <c r="S133" s="130">
        <f t="shared" si="41"/>
        <v>8.358245157757855</v>
      </c>
      <c r="T133" s="14">
        <f>SUM(T135:T139)</f>
        <v>0</v>
      </c>
      <c r="U133" s="22"/>
    </row>
    <row r="134" spans="3:21" s="7" customFormat="1" ht="48" customHeight="1">
      <c r="C134" s="35" t="s">
        <v>86</v>
      </c>
      <c r="D134" s="35" t="s">
        <v>564</v>
      </c>
      <c r="E134" s="35" t="s">
        <v>505</v>
      </c>
      <c r="F134" s="36" t="s">
        <v>218</v>
      </c>
      <c r="G134" s="37" t="s">
        <v>566</v>
      </c>
      <c r="H134" s="128">
        <f>SUM(H135:H138)</f>
        <v>1270.5</v>
      </c>
      <c r="I134" s="128">
        <f>SUM(I135:I138)</f>
        <v>71.08926</v>
      </c>
      <c r="J134" s="129">
        <f t="shared" si="29"/>
        <v>5.595376623376623</v>
      </c>
      <c r="K134" s="128"/>
      <c r="L134" s="128"/>
      <c r="M134" s="128"/>
      <c r="N134" s="128"/>
      <c r="O134" s="128"/>
      <c r="P134" s="130">
        <f t="shared" si="39"/>
        <v>1270.5</v>
      </c>
      <c r="Q134" s="130">
        <f t="shared" si="25"/>
        <v>71.08926</v>
      </c>
      <c r="R134" s="130">
        <f t="shared" si="40"/>
        <v>-1199.41074</v>
      </c>
      <c r="S134" s="130">
        <f t="shared" si="41"/>
        <v>5.595376623376623</v>
      </c>
      <c r="T134" s="14">
        <f>SUM(T135:T138)</f>
        <v>0</v>
      </c>
      <c r="U134" s="22"/>
    </row>
    <row r="135" spans="3:20" s="39" customFormat="1" ht="29.25" customHeight="1">
      <c r="C135" s="35"/>
      <c r="D135" s="35"/>
      <c r="E135" s="35"/>
      <c r="F135" s="36"/>
      <c r="G135" s="37" t="s">
        <v>411</v>
      </c>
      <c r="H135" s="128">
        <v>100</v>
      </c>
      <c r="I135" s="139">
        <v>18</v>
      </c>
      <c r="J135" s="129">
        <f t="shared" si="29"/>
        <v>18</v>
      </c>
      <c r="K135" s="130"/>
      <c r="L135" s="130"/>
      <c r="M135" s="130"/>
      <c r="N135" s="130"/>
      <c r="O135" s="130"/>
      <c r="P135" s="130">
        <f t="shared" si="39"/>
        <v>100</v>
      </c>
      <c r="Q135" s="130">
        <f t="shared" si="25"/>
        <v>18</v>
      </c>
      <c r="R135" s="130">
        <f t="shared" si="40"/>
        <v>-82</v>
      </c>
      <c r="S135" s="130">
        <f t="shared" si="41"/>
        <v>18</v>
      </c>
      <c r="T135" s="38"/>
    </row>
    <row r="136" spans="3:20" s="39" customFormat="1" ht="2.25" customHeight="1" hidden="1">
      <c r="C136" s="35"/>
      <c r="D136" s="35"/>
      <c r="E136" s="35"/>
      <c r="F136" s="36"/>
      <c r="G136" s="37" t="s">
        <v>410</v>
      </c>
      <c r="H136" s="128"/>
      <c r="I136" s="139"/>
      <c r="J136" s="129" t="e">
        <f t="shared" si="29"/>
        <v>#DIV/0!</v>
      </c>
      <c r="K136" s="130"/>
      <c r="L136" s="130"/>
      <c r="M136" s="130"/>
      <c r="N136" s="130"/>
      <c r="O136" s="130"/>
      <c r="P136" s="130">
        <f t="shared" si="39"/>
        <v>0</v>
      </c>
      <c r="Q136" s="130">
        <f t="shared" si="25"/>
        <v>0</v>
      </c>
      <c r="R136" s="130">
        <f t="shared" si="40"/>
        <v>0</v>
      </c>
      <c r="S136" s="130" t="e">
        <f t="shared" si="41"/>
        <v>#DIV/0!</v>
      </c>
      <c r="T136" s="38"/>
    </row>
    <row r="137" spans="3:20" s="39" customFormat="1" ht="50.25" customHeight="1">
      <c r="C137" s="35"/>
      <c r="D137" s="35"/>
      <c r="E137" s="35"/>
      <c r="F137" s="36"/>
      <c r="G137" s="37" t="s">
        <v>562</v>
      </c>
      <c r="H137" s="128">
        <v>970.5</v>
      </c>
      <c r="I137" s="130">
        <v>43.08926</v>
      </c>
      <c r="J137" s="129">
        <f t="shared" si="29"/>
        <v>4.439903142709944</v>
      </c>
      <c r="K137" s="130"/>
      <c r="L137" s="130"/>
      <c r="M137" s="130"/>
      <c r="N137" s="130"/>
      <c r="O137" s="130"/>
      <c r="P137" s="130">
        <f t="shared" si="39"/>
        <v>970.5</v>
      </c>
      <c r="Q137" s="130">
        <f t="shared" si="25"/>
        <v>43.08926</v>
      </c>
      <c r="R137" s="130">
        <f t="shared" si="40"/>
        <v>-927.41074</v>
      </c>
      <c r="S137" s="130">
        <f t="shared" si="41"/>
        <v>4.439903142709944</v>
      </c>
      <c r="T137" s="38"/>
    </row>
    <row r="138" spans="3:20" s="39" customFormat="1" ht="42" customHeight="1">
      <c r="C138" s="35"/>
      <c r="D138" s="35"/>
      <c r="E138" s="35"/>
      <c r="F138" s="36"/>
      <c r="G138" s="37" t="s">
        <v>632</v>
      </c>
      <c r="H138" s="130">
        <v>200</v>
      </c>
      <c r="I138" s="130">
        <v>10</v>
      </c>
      <c r="J138" s="129">
        <f t="shared" si="29"/>
        <v>5</v>
      </c>
      <c r="K138" s="130"/>
      <c r="L138" s="130"/>
      <c r="M138" s="130"/>
      <c r="N138" s="130"/>
      <c r="O138" s="130"/>
      <c r="P138" s="130">
        <f t="shared" si="39"/>
        <v>200</v>
      </c>
      <c r="Q138" s="130">
        <f t="shared" si="25"/>
        <v>10</v>
      </c>
      <c r="R138" s="130">
        <f t="shared" si="40"/>
        <v>-190</v>
      </c>
      <c r="S138" s="130">
        <f t="shared" si="41"/>
        <v>5</v>
      </c>
      <c r="T138" s="38"/>
    </row>
    <row r="139" spans="3:20" s="39" customFormat="1" ht="72.75" customHeight="1">
      <c r="C139" s="35" t="s">
        <v>97</v>
      </c>
      <c r="D139" s="35" t="s">
        <v>565</v>
      </c>
      <c r="E139" s="35" t="s">
        <v>505</v>
      </c>
      <c r="F139" s="36" t="s">
        <v>213</v>
      </c>
      <c r="G139" s="37" t="s">
        <v>376</v>
      </c>
      <c r="H139" s="130">
        <f>SUM(H140:H141)</f>
        <v>190.60000000000002</v>
      </c>
      <c r="I139" s="130">
        <f>SUM(I140:I141)</f>
        <v>51.03306</v>
      </c>
      <c r="J139" s="129">
        <f t="shared" si="29"/>
        <v>26.774952780692544</v>
      </c>
      <c r="K139" s="130"/>
      <c r="L139" s="130"/>
      <c r="M139" s="130"/>
      <c r="N139" s="130"/>
      <c r="O139" s="130"/>
      <c r="P139" s="130">
        <f>H139+K139</f>
        <v>190.60000000000002</v>
      </c>
      <c r="Q139" s="130">
        <f t="shared" si="25"/>
        <v>51.03306</v>
      </c>
      <c r="R139" s="130">
        <f>Q139-P139</f>
        <v>-139.56694000000002</v>
      </c>
      <c r="S139" s="130">
        <f>Q139/P139*100</f>
        <v>26.774952780692544</v>
      </c>
      <c r="T139" s="38"/>
    </row>
    <row r="140" spans="3:20" s="39" customFormat="1" ht="95.25" customHeight="1">
      <c r="C140" s="35"/>
      <c r="D140" s="35"/>
      <c r="E140" s="35"/>
      <c r="F140" s="36"/>
      <c r="G140" s="37" t="s">
        <v>657</v>
      </c>
      <c r="H140" s="130">
        <v>156.15</v>
      </c>
      <c r="I140" s="130">
        <v>43.04297</v>
      </c>
      <c r="J140" s="129">
        <f t="shared" si="29"/>
        <v>27.56514249119436</v>
      </c>
      <c r="K140" s="130"/>
      <c r="L140" s="130"/>
      <c r="M140" s="130"/>
      <c r="N140" s="130"/>
      <c r="O140" s="130"/>
      <c r="P140" s="130">
        <f>H140+K140</f>
        <v>156.15</v>
      </c>
      <c r="Q140" s="130">
        <f t="shared" si="25"/>
        <v>43.04297</v>
      </c>
      <c r="R140" s="130">
        <f>Q140-P140</f>
        <v>-113.10703000000001</v>
      </c>
      <c r="S140" s="130">
        <f>Q140/P140*100</f>
        <v>27.56514249119436</v>
      </c>
      <c r="T140" s="38"/>
    </row>
    <row r="141" spans="3:20" s="39" customFormat="1" ht="67.5" customHeight="1">
      <c r="C141" s="35"/>
      <c r="D141" s="35"/>
      <c r="E141" s="35"/>
      <c r="F141" s="36"/>
      <c r="G141" s="37" t="s">
        <v>631</v>
      </c>
      <c r="H141" s="130">
        <v>34.45</v>
      </c>
      <c r="I141" s="130">
        <v>7.99009</v>
      </c>
      <c r="J141" s="129">
        <f t="shared" si="29"/>
        <v>23.193294629898404</v>
      </c>
      <c r="K141" s="130"/>
      <c r="L141" s="130"/>
      <c r="M141" s="130"/>
      <c r="N141" s="130"/>
      <c r="O141" s="130"/>
      <c r="P141" s="130">
        <f>H141+K141</f>
        <v>34.45</v>
      </c>
      <c r="Q141" s="130">
        <f t="shared" si="25"/>
        <v>7.99009</v>
      </c>
      <c r="R141" s="130">
        <f>Q141-P141</f>
        <v>-26.45991</v>
      </c>
      <c r="S141" s="130">
        <f>Q141/P141*100</f>
        <v>23.193294629898404</v>
      </c>
      <c r="T141" s="38"/>
    </row>
    <row r="142" spans="1:21" s="39" customFormat="1" ht="43.5" customHeight="1">
      <c r="A142" s="7">
        <v>12</v>
      </c>
      <c r="B142" s="7">
        <v>33</v>
      </c>
      <c r="C142" s="32" t="s">
        <v>162</v>
      </c>
      <c r="D142" s="32" t="s">
        <v>567</v>
      </c>
      <c r="E142" s="32" t="s">
        <v>465</v>
      </c>
      <c r="F142" s="5" t="s">
        <v>217</v>
      </c>
      <c r="G142" s="43" t="s">
        <v>675</v>
      </c>
      <c r="H142" s="130">
        <f>SUM(H143:H146)</f>
        <v>1876.8</v>
      </c>
      <c r="I142" s="130">
        <f>SUM(I143:I146)</f>
        <v>256.72491</v>
      </c>
      <c r="J142" s="129">
        <f t="shared" si="29"/>
        <v>13.678863491048595</v>
      </c>
      <c r="K142" s="130">
        <f>K143+K144+K145</f>
        <v>0.97631</v>
      </c>
      <c r="L142" s="130">
        <f>L143+L144+L145</f>
        <v>0</v>
      </c>
      <c r="M142" s="130">
        <f>M143+M144+M145</f>
        <v>0.97631</v>
      </c>
      <c r="N142" s="130">
        <f>N143+N144+N145</f>
        <v>0</v>
      </c>
      <c r="O142" s="130">
        <f>M142/K142*100</f>
        <v>100</v>
      </c>
      <c r="P142" s="130">
        <f>H142+K142</f>
        <v>1877.77631</v>
      </c>
      <c r="Q142" s="130">
        <f t="shared" si="25"/>
        <v>257.70122000000003</v>
      </c>
      <c r="R142" s="130">
        <f>Q142-P142</f>
        <v>-1620.0750899999998</v>
      </c>
      <c r="S142" s="130">
        <f>Q142/P142*100</f>
        <v>13.723744336725604</v>
      </c>
      <c r="T142" s="38">
        <f>SUM(T143:T144)</f>
        <v>0</v>
      </c>
      <c r="U142" s="54"/>
    </row>
    <row r="143" spans="3:20" s="39" customFormat="1" ht="36.75" customHeight="1">
      <c r="C143" s="35" t="s">
        <v>94</v>
      </c>
      <c r="D143" s="35" t="s">
        <v>568</v>
      </c>
      <c r="E143" s="35" t="s">
        <v>465</v>
      </c>
      <c r="F143" s="36"/>
      <c r="G143" s="45" t="s">
        <v>676</v>
      </c>
      <c r="H143" s="130">
        <v>54</v>
      </c>
      <c r="I143" s="130">
        <v>1.2</v>
      </c>
      <c r="J143" s="129">
        <f t="shared" si="29"/>
        <v>2.2222222222222223</v>
      </c>
      <c r="K143" s="130"/>
      <c r="L143" s="130"/>
      <c r="M143" s="130"/>
      <c r="N143" s="130"/>
      <c r="O143" s="130"/>
      <c r="P143" s="130">
        <f>H143+K143</f>
        <v>54</v>
      </c>
      <c r="Q143" s="130">
        <f t="shared" si="25"/>
        <v>1.2</v>
      </c>
      <c r="R143" s="130">
        <f>Q143-P143</f>
        <v>-52.8</v>
      </c>
      <c r="S143" s="130">
        <f>Q143/P143*100</f>
        <v>2.2222222222222223</v>
      </c>
      <c r="T143" s="38"/>
    </row>
    <row r="144" spans="3:21" s="39" customFormat="1" ht="45" customHeight="1">
      <c r="C144" s="35" t="s">
        <v>83</v>
      </c>
      <c r="D144" s="35" t="s">
        <v>569</v>
      </c>
      <c r="E144" s="35" t="s">
        <v>465</v>
      </c>
      <c r="F144" s="36"/>
      <c r="G144" s="45" t="s">
        <v>529</v>
      </c>
      <c r="H144" s="130">
        <v>1797.8</v>
      </c>
      <c r="I144" s="130">
        <v>230.52491</v>
      </c>
      <c r="J144" s="129">
        <f t="shared" si="29"/>
        <v>12.822611525197464</v>
      </c>
      <c r="K144" s="130">
        <v>0.97631</v>
      </c>
      <c r="L144" s="130"/>
      <c r="M144" s="130">
        <v>0.97631</v>
      </c>
      <c r="N144" s="130">
        <v>0</v>
      </c>
      <c r="O144" s="130">
        <f>M144/K144*100</f>
        <v>100</v>
      </c>
      <c r="P144" s="130">
        <f aca="true" t="shared" si="42" ref="P144:P154">H144+K144</f>
        <v>1798.77631</v>
      </c>
      <c r="Q144" s="130">
        <f t="shared" si="25"/>
        <v>231.50122000000002</v>
      </c>
      <c r="R144" s="130">
        <f aca="true" t="shared" si="43" ref="R144:R155">Q144-P144</f>
        <v>-1567.2750899999999</v>
      </c>
      <c r="S144" s="130">
        <f aca="true" t="shared" si="44" ref="S144:S155">Q144/P144*100</f>
        <v>12.869928223593293</v>
      </c>
      <c r="T144" s="38"/>
      <c r="U144" s="51"/>
    </row>
    <row r="145" spans="3:21" s="39" customFormat="1" ht="51.75" customHeight="1">
      <c r="C145" s="35" t="s">
        <v>287</v>
      </c>
      <c r="D145" s="35" t="s">
        <v>713</v>
      </c>
      <c r="E145" s="35" t="s">
        <v>465</v>
      </c>
      <c r="F145" s="36"/>
      <c r="G145" s="45" t="s">
        <v>714</v>
      </c>
      <c r="H145" s="130">
        <v>25</v>
      </c>
      <c r="I145" s="130">
        <v>25</v>
      </c>
      <c r="J145" s="129">
        <f t="shared" si="29"/>
        <v>100</v>
      </c>
      <c r="K145" s="130"/>
      <c r="L145" s="130"/>
      <c r="M145" s="130"/>
      <c r="N145" s="130"/>
      <c r="O145" s="130"/>
      <c r="P145" s="130">
        <f t="shared" si="42"/>
        <v>25</v>
      </c>
      <c r="Q145" s="130">
        <f t="shared" si="25"/>
        <v>25</v>
      </c>
      <c r="R145" s="130">
        <f t="shared" si="43"/>
        <v>0</v>
      </c>
      <c r="S145" s="130">
        <f t="shared" si="44"/>
        <v>100</v>
      </c>
      <c r="T145" s="38"/>
      <c r="U145" s="51"/>
    </row>
    <row r="146" spans="3:20" s="39" customFormat="1" ht="2.25" customHeight="1" hidden="1">
      <c r="C146" s="35" t="s">
        <v>287</v>
      </c>
      <c r="D146" s="35"/>
      <c r="E146" s="35"/>
      <c r="F146" s="36"/>
      <c r="G146" s="45" t="s">
        <v>288</v>
      </c>
      <c r="H146" s="130"/>
      <c r="I146" s="130"/>
      <c r="J146" s="129" t="e">
        <f t="shared" si="29"/>
        <v>#DIV/0!</v>
      </c>
      <c r="K146" s="130"/>
      <c r="L146" s="130"/>
      <c r="M146" s="130"/>
      <c r="N146" s="130"/>
      <c r="O146" s="130"/>
      <c r="P146" s="130">
        <f t="shared" si="42"/>
        <v>0</v>
      </c>
      <c r="Q146" s="130">
        <f t="shared" si="25"/>
        <v>0</v>
      </c>
      <c r="R146" s="130">
        <f t="shared" si="43"/>
        <v>0</v>
      </c>
      <c r="S146" s="130" t="e">
        <f t="shared" si="44"/>
        <v>#DIV/0!</v>
      </c>
      <c r="T146" s="49"/>
    </row>
    <row r="147" spans="2:21" s="7" customFormat="1" ht="2.25" customHeight="1" hidden="1">
      <c r="B147" s="85">
        <v>34</v>
      </c>
      <c r="C147" s="32" t="s">
        <v>359</v>
      </c>
      <c r="D147" s="32" t="s">
        <v>476</v>
      </c>
      <c r="E147" s="32" t="s">
        <v>477</v>
      </c>
      <c r="F147" s="5" t="s">
        <v>3</v>
      </c>
      <c r="G147" s="42" t="s">
        <v>31</v>
      </c>
      <c r="H147" s="130"/>
      <c r="I147" s="128"/>
      <c r="J147" s="129" t="e">
        <f t="shared" si="29"/>
        <v>#DIV/0!</v>
      </c>
      <c r="K147" s="128"/>
      <c r="L147" s="128"/>
      <c r="M147" s="130"/>
      <c r="N147" s="130"/>
      <c r="O147" s="128">
        <f>SUM(O150:O151)</f>
        <v>0</v>
      </c>
      <c r="P147" s="130">
        <f t="shared" si="42"/>
        <v>0</v>
      </c>
      <c r="Q147" s="130">
        <f t="shared" si="25"/>
        <v>0</v>
      </c>
      <c r="R147" s="130">
        <f t="shared" si="43"/>
        <v>0</v>
      </c>
      <c r="S147" s="130" t="e">
        <f t="shared" si="44"/>
        <v>#DIV/0!</v>
      </c>
      <c r="T147" s="14">
        <f>SUM(T148:T151)</f>
        <v>0</v>
      </c>
      <c r="U147" s="22"/>
    </row>
    <row r="148" spans="3:21" s="39" customFormat="1" ht="2.25" customHeight="1" hidden="1">
      <c r="C148" s="35"/>
      <c r="D148" s="35"/>
      <c r="E148" s="35"/>
      <c r="F148" s="36"/>
      <c r="G148" s="52" t="s">
        <v>5</v>
      </c>
      <c r="H148" s="130"/>
      <c r="I148" s="130"/>
      <c r="J148" s="129" t="e">
        <f t="shared" si="29"/>
        <v>#DIV/0!</v>
      </c>
      <c r="K148" s="130"/>
      <c r="L148" s="130"/>
      <c r="M148" s="130"/>
      <c r="N148" s="130"/>
      <c r="O148" s="130"/>
      <c r="P148" s="130">
        <f t="shared" si="42"/>
        <v>0</v>
      </c>
      <c r="Q148" s="130">
        <f t="shared" si="25"/>
        <v>0</v>
      </c>
      <c r="R148" s="130">
        <f t="shared" si="43"/>
        <v>0</v>
      </c>
      <c r="S148" s="130" t="e">
        <f t="shared" si="44"/>
        <v>#DIV/0!</v>
      </c>
      <c r="T148" s="49"/>
      <c r="U148" s="54"/>
    </row>
    <row r="149" spans="3:21" s="39" customFormat="1" ht="2.25" customHeight="1" hidden="1">
      <c r="C149" s="35" t="s">
        <v>360</v>
      </c>
      <c r="D149" s="35"/>
      <c r="E149" s="35"/>
      <c r="F149" s="36"/>
      <c r="G149" s="45" t="s">
        <v>380</v>
      </c>
      <c r="H149" s="130"/>
      <c r="I149" s="130"/>
      <c r="J149" s="129" t="e">
        <f t="shared" si="29"/>
        <v>#DIV/0!</v>
      </c>
      <c r="K149" s="130"/>
      <c r="L149" s="130"/>
      <c r="M149" s="130"/>
      <c r="N149" s="130"/>
      <c r="O149" s="130">
        <f>SUM(O150:O151)</f>
        <v>0</v>
      </c>
      <c r="P149" s="130">
        <f t="shared" si="42"/>
        <v>0</v>
      </c>
      <c r="Q149" s="130">
        <f t="shared" si="25"/>
        <v>0</v>
      </c>
      <c r="R149" s="130">
        <f t="shared" si="43"/>
        <v>0</v>
      </c>
      <c r="S149" s="130" t="e">
        <f t="shared" si="44"/>
        <v>#DIV/0!</v>
      </c>
      <c r="T149" s="49"/>
      <c r="U149" s="54"/>
    </row>
    <row r="150" spans="3:21" s="39" customFormat="1" ht="2.25" customHeight="1" hidden="1">
      <c r="C150" s="35" t="s">
        <v>360</v>
      </c>
      <c r="D150" s="35"/>
      <c r="E150" s="35"/>
      <c r="F150" s="36"/>
      <c r="G150" s="45" t="s">
        <v>382</v>
      </c>
      <c r="H150" s="130"/>
      <c r="I150" s="130"/>
      <c r="J150" s="129" t="e">
        <f t="shared" si="29"/>
        <v>#DIV/0!</v>
      </c>
      <c r="K150" s="130"/>
      <c r="L150" s="130"/>
      <c r="M150" s="130"/>
      <c r="N150" s="130"/>
      <c r="O150" s="130"/>
      <c r="P150" s="130">
        <f t="shared" si="42"/>
        <v>0</v>
      </c>
      <c r="Q150" s="130">
        <f t="shared" si="25"/>
        <v>0</v>
      </c>
      <c r="R150" s="130">
        <f t="shared" si="43"/>
        <v>0</v>
      </c>
      <c r="S150" s="130" t="e">
        <f t="shared" si="44"/>
        <v>#DIV/0!</v>
      </c>
      <c r="T150" s="49"/>
      <c r="U150" s="54"/>
    </row>
    <row r="151" spans="3:21" s="39" customFormat="1" ht="2.25" customHeight="1" hidden="1">
      <c r="C151" s="35" t="s">
        <v>381</v>
      </c>
      <c r="D151" s="35"/>
      <c r="E151" s="35"/>
      <c r="F151" s="36"/>
      <c r="G151" s="37" t="s">
        <v>383</v>
      </c>
      <c r="H151" s="130"/>
      <c r="I151" s="130"/>
      <c r="J151" s="129" t="e">
        <f t="shared" si="29"/>
        <v>#DIV/0!</v>
      </c>
      <c r="K151" s="130"/>
      <c r="L151" s="130"/>
      <c r="M151" s="130"/>
      <c r="N151" s="130"/>
      <c r="O151" s="130"/>
      <c r="P151" s="130">
        <f t="shared" si="42"/>
        <v>0</v>
      </c>
      <c r="Q151" s="130">
        <f t="shared" si="25"/>
        <v>0</v>
      </c>
      <c r="R151" s="130">
        <f t="shared" si="43"/>
        <v>0</v>
      </c>
      <c r="S151" s="130" t="e">
        <f t="shared" si="44"/>
        <v>#DIV/0!</v>
      </c>
      <c r="T151" s="49"/>
      <c r="U151" s="54"/>
    </row>
    <row r="152" spans="3:21" s="7" customFormat="1" ht="81.75" customHeight="1">
      <c r="C152" s="32" t="s">
        <v>377</v>
      </c>
      <c r="D152" s="32" t="s">
        <v>478</v>
      </c>
      <c r="E152" s="32" t="s">
        <v>570</v>
      </c>
      <c r="F152" s="5" t="s">
        <v>341</v>
      </c>
      <c r="G152" s="43" t="s">
        <v>342</v>
      </c>
      <c r="H152" s="128">
        <v>73.5</v>
      </c>
      <c r="I152" s="128">
        <v>7.72095</v>
      </c>
      <c r="J152" s="129">
        <f t="shared" si="29"/>
        <v>10.50469387755102</v>
      </c>
      <c r="K152" s="128">
        <v>7.72095</v>
      </c>
      <c r="L152" s="128"/>
      <c r="M152" s="128">
        <v>7.72095</v>
      </c>
      <c r="N152" s="128">
        <v>0</v>
      </c>
      <c r="O152" s="128">
        <f>M152/K152*100</f>
        <v>100</v>
      </c>
      <c r="P152" s="130">
        <f t="shared" si="42"/>
        <v>81.22095</v>
      </c>
      <c r="Q152" s="130">
        <f t="shared" si="25"/>
        <v>15.4419</v>
      </c>
      <c r="R152" s="130">
        <f t="shared" si="43"/>
        <v>-65.77905</v>
      </c>
      <c r="S152" s="130">
        <f t="shared" si="44"/>
        <v>19.012212981995408</v>
      </c>
      <c r="T152" s="13"/>
      <c r="U152" s="22"/>
    </row>
    <row r="153" spans="3:21" s="7" customFormat="1" ht="47.25" customHeight="1">
      <c r="C153" s="32" t="s">
        <v>680</v>
      </c>
      <c r="D153" s="32" t="s">
        <v>681</v>
      </c>
      <c r="E153" s="32" t="s">
        <v>484</v>
      </c>
      <c r="F153" s="5"/>
      <c r="G153" s="33" t="s">
        <v>684</v>
      </c>
      <c r="H153" s="128">
        <f>I153+L153</f>
        <v>0</v>
      </c>
      <c r="I153" s="128">
        <v>0</v>
      </c>
      <c r="J153" s="129"/>
      <c r="K153" s="128">
        <f>K154</f>
        <v>500</v>
      </c>
      <c r="L153" s="128"/>
      <c r="M153" s="128">
        <f>M154</f>
        <v>0</v>
      </c>
      <c r="N153" s="128">
        <f>N154</f>
        <v>0</v>
      </c>
      <c r="O153" s="128">
        <f>M153/K153*100</f>
        <v>0</v>
      </c>
      <c r="P153" s="130">
        <f t="shared" si="42"/>
        <v>500</v>
      </c>
      <c r="Q153" s="130">
        <f t="shared" si="25"/>
        <v>0</v>
      </c>
      <c r="R153" s="130">
        <f t="shared" si="43"/>
        <v>-500</v>
      </c>
      <c r="S153" s="130">
        <f t="shared" si="44"/>
        <v>0</v>
      </c>
      <c r="T153" s="14">
        <f>T154</f>
        <v>500</v>
      </c>
      <c r="U153" s="22"/>
    </row>
    <row r="154" spans="3:21" s="7" customFormat="1" ht="139.5" customHeight="1">
      <c r="C154" s="35" t="s">
        <v>682</v>
      </c>
      <c r="D154" s="35" t="s">
        <v>683</v>
      </c>
      <c r="E154" s="35" t="s">
        <v>484</v>
      </c>
      <c r="F154" s="5"/>
      <c r="G154" s="45" t="s">
        <v>697</v>
      </c>
      <c r="H154" s="128">
        <f>I154+L154</f>
        <v>0</v>
      </c>
      <c r="I154" s="128">
        <v>0</v>
      </c>
      <c r="J154" s="129"/>
      <c r="K154" s="128">
        <v>500</v>
      </c>
      <c r="L154" s="128"/>
      <c r="M154" s="128">
        <v>0</v>
      </c>
      <c r="N154" s="128">
        <v>0</v>
      </c>
      <c r="O154" s="128">
        <f>M154/K154*100</f>
        <v>0</v>
      </c>
      <c r="P154" s="130">
        <f t="shared" si="42"/>
        <v>500</v>
      </c>
      <c r="Q154" s="130">
        <f t="shared" si="25"/>
        <v>0</v>
      </c>
      <c r="R154" s="130">
        <f t="shared" si="43"/>
        <v>-500</v>
      </c>
      <c r="S154" s="130">
        <f t="shared" si="44"/>
        <v>0</v>
      </c>
      <c r="T154" s="14">
        <v>500</v>
      </c>
      <c r="U154" s="22"/>
    </row>
    <row r="155" spans="3:21" s="7" customFormat="1" ht="44.25" customHeight="1">
      <c r="C155" s="35"/>
      <c r="D155" s="35"/>
      <c r="E155" s="35"/>
      <c r="F155" s="5"/>
      <c r="G155" s="64" t="s">
        <v>142</v>
      </c>
      <c r="H155" s="132">
        <f>H67+H68+H69+H76+H82+H87+H95+H100+H111+H121+H122+H123+H124+H126+H130+H133+H142+H152+H153</f>
        <v>127725.35</v>
      </c>
      <c r="I155" s="132">
        <f>I67+I68+I69+I76+I82+I87+I95+I100+I111+I121+I122+I123+I124+I126+I130+I133+I142+I152+I153</f>
        <v>31252.194029999995</v>
      </c>
      <c r="J155" s="196">
        <f>I155/H155*100</f>
        <v>24.46827824703553</v>
      </c>
      <c r="K155" s="132">
        <f>K67+K68+K69+K76+K82+K87+K95+K100+K111+K121+K122+K123+K124+K126+K130+K133+K142+K152+K153</f>
        <v>6996.94122</v>
      </c>
      <c r="L155" s="132">
        <f>L67+L68+L69+L76+L82+L87+L95+L100+L111+L121+L122+L123+L124+L126+L130+L133+L142+L152+L153</f>
        <v>0</v>
      </c>
      <c r="M155" s="132">
        <f>M67+M68+M69+M76+M82+M87+M95+M100+M111+M121+M122+M123+M124+M126+M130+M133+M142+M152+M153</f>
        <v>1736.6425000000002</v>
      </c>
      <c r="N155" s="132">
        <f>N67+N68+N69+N76+N82+N87+N95+N100+N111+N121+N122+N123+N124+N126+N130+N133+N142+N152+N153</f>
        <v>0</v>
      </c>
      <c r="O155" s="132">
        <f>M155/K155*100</f>
        <v>24.820024141920694</v>
      </c>
      <c r="P155" s="132">
        <f>H155+K155</f>
        <v>134722.29122</v>
      </c>
      <c r="Q155" s="132">
        <f>I155+M155</f>
        <v>32988.83652999999</v>
      </c>
      <c r="R155" s="132">
        <f t="shared" si="43"/>
        <v>-101733.45469000001</v>
      </c>
      <c r="S155" s="132">
        <f t="shared" si="44"/>
        <v>24.486546533067486</v>
      </c>
      <c r="T155" s="14"/>
      <c r="U155" s="22"/>
    </row>
    <row r="156" spans="3:21" s="50" customFormat="1" ht="48.75" customHeight="1">
      <c r="C156" s="30" t="s">
        <v>180</v>
      </c>
      <c r="D156" s="30"/>
      <c r="E156" s="30"/>
      <c r="F156" s="187"/>
      <c r="G156" s="48" t="s">
        <v>182</v>
      </c>
      <c r="H156" s="132"/>
      <c r="I156" s="132"/>
      <c r="J156" s="129"/>
      <c r="K156" s="132"/>
      <c r="L156" s="132"/>
      <c r="M156" s="132"/>
      <c r="N156" s="132"/>
      <c r="O156" s="132"/>
      <c r="P156" s="132"/>
      <c r="Q156" s="132"/>
      <c r="R156" s="132"/>
      <c r="S156" s="132"/>
      <c r="T156" s="63"/>
      <c r="U156" s="53"/>
    </row>
    <row r="157" spans="3:21" s="7" customFormat="1" ht="51.75" customHeight="1">
      <c r="C157" s="32" t="s">
        <v>181</v>
      </c>
      <c r="D157" s="32"/>
      <c r="E157" s="32"/>
      <c r="F157" s="5"/>
      <c r="G157" s="48" t="s">
        <v>183</v>
      </c>
      <c r="H157" s="128"/>
      <c r="I157" s="128"/>
      <c r="J157" s="129"/>
      <c r="K157" s="128"/>
      <c r="L157" s="128"/>
      <c r="M157" s="128"/>
      <c r="N157" s="128"/>
      <c r="O157" s="128"/>
      <c r="P157" s="128"/>
      <c r="Q157" s="128"/>
      <c r="R157" s="128"/>
      <c r="S157" s="128"/>
      <c r="T157" s="14"/>
      <c r="U157" s="22"/>
    </row>
    <row r="158" spans="1:20" s="7" customFormat="1" ht="98.25" customHeight="1">
      <c r="A158" s="7">
        <v>4</v>
      </c>
      <c r="B158" s="7">
        <v>35</v>
      </c>
      <c r="C158" s="32" t="s">
        <v>308</v>
      </c>
      <c r="D158" s="32" t="s">
        <v>439</v>
      </c>
      <c r="E158" s="32" t="s">
        <v>440</v>
      </c>
      <c r="F158" s="5" t="s">
        <v>205</v>
      </c>
      <c r="G158" s="33" t="s">
        <v>625</v>
      </c>
      <c r="H158" s="128">
        <v>806.2</v>
      </c>
      <c r="I158" s="128">
        <v>190.97978</v>
      </c>
      <c r="J158" s="129">
        <f t="shared" si="29"/>
        <v>23.68888365169933</v>
      </c>
      <c r="K158" s="128">
        <v>16.815</v>
      </c>
      <c r="L158" s="128"/>
      <c r="M158" s="128">
        <v>5.83887</v>
      </c>
      <c r="N158" s="128">
        <v>0</v>
      </c>
      <c r="O158" s="128">
        <f>M158/K158*100</f>
        <v>34.72417484388938</v>
      </c>
      <c r="P158" s="128">
        <f>H158+K158</f>
        <v>823.0150000000001</v>
      </c>
      <c r="Q158" s="128">
        <f>I158+M158</f>
        <v>196.81865</v>
      </c>
      <c r="R158" s="128">
        <f>Q158-P158</f>
        <v>-626.1963500000002</v>
      </c>
      <c r="S158" s="128">
        <f>Q158/P158*100</f>
        <v>23.914345425053003</v>
      </c>
      <c r="T158" s="14"/>
    </row>
    <row r="159" spans="3:20" s="7" customFormat="1" ht="44.25" customHeight="1">
      <c r="C159" s="32" t="s">
        <v>333</v>
      </c>
      <c r="D159" s="32" t="s">
        <v>571</v>
      </c>
      <c r="E159" s="32"/>
      <c r="F159" s="5"/>
      <c r="G159" s="33" t="s">
        <v>335</v>
      </c>
      <c r="H159" s="128">
        <f>H160</f>
        <v>5</v>
      </c>
      <c r="I159" s="128">
        <f>I160</f>
        <v>0</v>
      </c>
      <c r="J159" s="129">
        <f t="shared" si="29"/>
        <v>0</v>
      </c>
      <c r="K159" s="128"/>
      <c r="L159" s="128"/>
      <c r="M159" s="128"/>
      <c r="N159" s="128"/>
      <c r="O159" s="128"/>
      <c r="P159" s="128">
        <f>H159+K159</f>
        <v>5</v>
      </c>
      <c r="Q159" s="128">
        <f>I159+M159</f>
        <v>0</v>
      </c>
      <c r="R159" s="128">
        <f>Q159-P159</f>
        <v>-5</v>
      </c>
      <c r="S159" s="128">
        <f>Q159/P159*100</f>
        <v>0</v>
      </c>
      <c r="T159" s="14">
        <f>T160</f>
        <v>0</v>
      </c>
    </row>
    <row r="160" spans="3:20" s="39" customFormat="1" ht="82.5" customHeight="1">
      <c r="C160" s="35" t="s">
        <v>336</v>
      </c>
      <c r="D160" s="35" t="s">
        <v>572</v>
      </c>
      <c r="E160" s="35" t="s">
        <v>482</v>
      </c>
      <c r="F160" s="36" t="s">
        <v>334</v>
      </c>
      <c r="G160" s="45" t="s">
        <v>435</v>
      </c>
      <c r="H160" s="130">
        <v>5</v>
      </c>
      <c r="I160" s="130">
        <v>0</v>
      </c>
      <c r="J160" s="129">
        <f t="shared" si="29"/>
        <v>0</v>
      </c>
      <c r="K160" s="130"/>
      <c r="L160" s="130"/>
      <c r="M160" s="130"/>
      <c r="N160" s="130"/>
      <c r="O160" s="130"/>
      <c r="P160" s="128">
        <f>H160+K160</f>
        <v>5</v>
      </c>
      <c r="Q160" s="128">
        <f>I160+M160</f>
        <v>0</v>
      </c>
      <c r="R160" s="128">
        <f>Q160-P160</f>
        <v>-5</v>
      </c>
      <c r="S160" s="128">
        <f>Q160/P160*100</f>
        <v>0</v>
      </c>
      <c r="T160" s="38"/>
    </row>
    <row r="161" spans="3:22" s="50" customFormat="1" ht="29.25" customHeight="1">
      <c r="C161" s="30"/>
      <c r="D161" s="30"/>
      <c r="E161" s="30"/>
      <c r="F161" s="187"/>
      <c r="G161" s="64" t="s">
        <v>142</v>
      </c>
      <c r="H161" s="132">
        <f>H158+H159</f>
        <v>811.2</v>
      </c>
      <c r="I161" s="132">
        <f>I158+I159</f>
        <v>190.97978</v>
      </c>
      <c r="J161" s="129">
        <f t="shared" si="29"/>
        <v>23.542872287968443</v>
      </c>
      <c r="K161" s="132">
        <f aca="true" t="shared" si="45" ref="K161:T161">K158+K159</f>
        <v>16.815</v>
      </c>
      <c r="L161" s="132">
        <f t="shared" si="45"/>
        <v>0</v>
      </c>
      <c r="M161" s="132">
        <f t="shared" si="45"/>
        <v>5.83887</v>
      </c>
      <c r="N161" s="132">
        <f t="shared" si="45"/>
        <v>0</v>
      </c>
      <c r="O161" s="132">
        <f t="shared" si="45"/>
        <v>34.72417484388938</v>
      </c>
      <c r="P161" s="132">
        <f t="shared" si="45"/>
        <v>828.0150000000001</v>
      </c>
      <c r="Q161" s="132">
        <f t="shared" si="45"/>
        <v>196.81865</v>
      </c>
      <c r="R161" s="132">
        <f>Q161-P161</f>
        <v>-631.1963500000002</v>
      </c>
      <c r="S161" s="132">
        <f>Q161/P161*100</f>
        <v>23.76993774267374</v>
      </c>
      <c r="T161" s="63">
        <f t="shared" si="45"/>
        <v>0</v>
      </c>
      <c r="U161" s="53"/>
      <c r="V161" s="53"/>
    </row>
    <row r="162" spans="3:21" s="50" customFormat="1" ht="57" customHeight="1">
      <c r="C162" s="30" t="s">
        <v>173</v>
      </c>
      <c r="D162" s="30"/>
      <c r="E162" s="30"/>
      <c r="F162" s="187"/>
      <c r="G162" s="31" t="s">
        <v>423</v>
      </c>
      <c r="H162" s="132"/>
      <c r="I162" s="132"/>
      <c r="J162" s="129"/>
      <c r="K162" s="132"/>
      <c r="L162" s="132"/>
      <c r="M162" s="132"/>
      <c r="N162" s="132"/>
      <c r="O162" s="132"/>
      <c r="P162" s="132"/>
      <c r="Q162" s="132"/>
      <c r="R162" s="132"/>
      <c r="S162" s="132"/>
      <c r="T162" s="63"/>
      <c r="U162" s="53"/>
    </row>
    <row r="163" spans="3:21" s="7" customFormat="1" ht="57.75" customHeight="1">
      <c r="C163" s="119" t="s">
        <v>174</v>
      </c>
      <c r="D163" s="30"/>
      <c r="E163" s="30"/>
      <c r="F163" s="187"/>
      <c r="G163" s="31" t="s">
        <v>422</v>
      </c>
      <c r="H163" s="128"/>
      <c r="I163" s="128"/>
      <c r="J163" s="129"/>
      <c r="K163" s="128"/>
      <c r="L163" s="128"/>
      <c r="M163" s="128"/>
      <c r="N163" s="128"/>
      <c r="O163" s="128"/>
      <c r="P163" s="128"/>
      <c r="Q163" s="128"/>
      <c r="R163" s="128"/>
      <c r="S163" s="128"/>
      <c r="T163" s="14"/>
      <c r="U163" s="22"/>
    </row>
    <row r="164" spans="1:20" s="7" customFormat="1" ht="103.5" customHeight="1">
      <c r="A164" s="7">
        <v>7</v>
      </c>
      <c r="B164" s="7">
        <v>47</v>
      </c>
      <c r="C164" s="32" t="s">
        <v>313</v>
      </c>
      <c r="D164" s="32" t="s">
        <v>439</v>
      </c>
      <c r="E164" s="32" t="s">
        <v>440</v>
      </c>
      <c r="F164" s="5" t="s">
        <v>205</v>
      </c>
      <c r="G164" s="33" t="s">
        <v>40</v>
      </c>
      <c r="H164" s="129">
        <v>818.4</v>
      </c>
      <c r="I164" s="129">
        <v>199.03819</v>
      </c>
      <c r="J164" s="129">
        <f aca="true" t="shared" si="46" ref="J164:J224">I164/H164*100</f>
        <v>24.320404447702835</v>
      </c>
      <c r="K164" s="129"/>
      <c r="L164" s="129"/>
      <c r="M164" s="128"/>
      <c r="N164" s="128"/>
      <c r="O164" s="129"/>
      <c r="P164" s="129">
        <f>H164+K164</f>
        <v>818.4</v>
      </c>
      <c r="Q164" s="129">
        <f>I164+M164</f>
        <v>199.03819</v>
      </c>
      <c r="R164" s="129">
        <f>Q164-P164</f>
        <v>-619.36181</v>
      </c>
      <c r="S164" s="129">
        <f>Q164/P164*100</f>
        <v>24.320404447702835</v>
      </c>
      <c r="T164" s="34"/>
    </row>
    <row r="165" spans="1:20" s="7" customFormat="1" ht="45" customHeight="1">
      <c r="A165" s="7">
        <v>1</v>
      </c>
      <c r="B165" s="7">
        <v>52</v>
      </c>
      <c r="C165" s="32" t="s">
        <v>128</v>
      </c>
      <c r="D165" s="32" t="s">
        <v>599</v>
      </c>
      <c r="E165" s="32" t="s">
        <v>482</v>
      </c>
      <c r="F165" s="5" t="s">
        <v>653</v>
      </c>
      <c r="G165" s="33" t="s">
        <v>648</v>
      </c>
      <c r="H165" s="128">
        <f>H166</f>
        <v>85</v>
      </c>
      <c r="I165" s="128">
        <f>I166</f>
        <v>9.982</v>
      </c>
      <c r="J165" s="129">
        <f t="shared" si="46"/>
        <v>11.743529411764705</v>
      </c>
      <c r="K165" s="128"/>
      <c r="L165" s="128"/>
      <c r="M165" s="128"/>
      <c r="N165" s="128"/>
      <c r="O165" s="185"/>
      <c r="P165" s="129">
        <f>H165+K165</f>
        <v>85</v>
      </c>
      <c r="Q165" s="129">
        <f>I165+M165</f>
        <v>9.982</v>
      </c>
      <c r="R165" s="129">
        <f>Q165-P165</f>
        <v>-75.018</v>
      </c>
      <c r="S165" s="129">
        <f>Q165/P165*100</f>
        <v>11.743529411764705</v>
      </c>
      <c r="T165" s="14"/>
    </row>
    <row r="166" spans="3:20" s="39" customFormat="1" ht="69" customHeight="1">
      <c r="C166" s="35" t="s">
        <v>642</v>
      </c>
      <c r="D166" s="35" t="s">
        <v>643</v>
      </c>
      <c r="E166" s="35" t="s">
        <v>482</v>
      </c>
      <c r="F166" s="36"/>
      <c r="G166" s="45" t="s">
        <v>652</v>
      </c>
      <c r="H166" s="130">
        <v>85</v>
      </c>
      <c r="I166" s="130">
        <v>9.982</v>
      </c>
      <c r="J166" s="129">
        <f t="shared" si="46"/>
        <v>11.743529411764705</v>
      </c>
      <c r="K166" s="130"/>
      <c r="L166" s="130"/>
      <c r="M166" s="130"/>
      <c r="N166" s="130"/>
      <c r="O166" s="140"/>
      <c r="P166" s="129">
        <f>H166+K166</f>
        <v>85</v>
      </c>
      <c r="Q166" s="129">
        <f>I166+M166</f>
        <v>9.982</v>
      </c>
      <c r="R166" s="129">
        <f>Q166-P166</f>
        <v>-75.018</v>
      </c>
      <c r="S166" s="129">
        <f>Q166/P166*100</f>
        <v>11.743529411764705</v>
      </c>
      <c r="T166" s="38"/>
    </row>
    <row r="167" spans="3:20" s="7" customFormat="1" ht="27" customHeight="1">
      <c r="C167" s="32"/>
      <c r="D167" s="32"/>
      <c r="E167" s="32"/>
      <c r="F167" s="5" t="s">
        <v>258</v>
      </c>
      <c r="G167" s="43" t="s">
        <v>259</v>
      </c>
      <c r="H167" s="128">
        <f>SUM(H169:H173)</f>
        <v>7559.299999999999</v>
      </c>
      <c r="I167" s="128">
        <f>SUM(I169:I173)</f>
        <v>1468.81065</v>
      </c>
      <c r="J167" s="129">
        <f t="shared" si="46"/>
        <v>19.43051142301536</v>
      </c>
      <c r="K167" s="128">
        <f>SUM(K169:K173)</f>
        <v>594.8771300000001</v>
      </c>
      <c r="L167" s="128"/>
      <c r="M167" s="128">
        <f>SUM(M169:M173)</f>
        <v>66.67805</v>
      </c>
      <c r="N167" s="128">
        <f>SUM(N169:N173)</f>
        <v>0</v>
      </c>
      <c r="O167" s="128">
        <f>M167/K167*100</f>
        <v>11.208709603611757</v>
      </c>
      <c r="P167" s="128">
        <f>H167+K167</f>
        <v>8154.177129999999</v>
      </c>
      <c r="Q167" s="128">
        <f>I167+M167</f>
        <v>1535.4886999999999</v>
      </c>
      <c r="R167" s="128">
        <f>Q167-P167</f>
        <v>-6618.688429999999</v>
      </c>
      <c r="S167" s="128">
        <f>Q167/P167*100</f>
        <v>18.830700823885586</v>
      </c>
      <c r="T167" s="14">
        <f>SUM(T169:T173)</f>
        <v>343.22</v>
      </c>
    </row>
    <row r="168" spans="3:22" s="7" customFormat="1" ht="28.5" customHeight="1">
      <c r="C168" s="32"/>
      <c r="D168" s="32"/>
      <c r="E168" s="32"/>
      <c r="F168" s="5" t="s">
        <v>258</v>
      </c>
      <c r="G168" s="33" t="s">
        <v>197</v>
      </c>
      <c r="H168" s="128">
        <f>SUM(H169:H172)+H174</f>
        <v>7042.299999999999</v>
      </c>
      <c r="I168" s="128">
        <f>SUM(I169:I173)</f>
        <v>1468.81065</v>
      </c>
      <c r="J168" s="129">
        <f t="shared" si="46"/>
        <v>20.856973573974415</v>
      </c>
      <c r="K168" s="128">
        <f>K169+K170+K171+K172+K174</f>
        <v>342.37713</v>
      </c>
      <c r="L168" s="128">
        <f>L169+L170+L171+L172+L174</f>
        <v>0</v>
      </c>
      <c r="M168" s="128">
        <f>M169+M170+M171+M172+M174</f>
        <v>61.17805</v>
      </c>
      <c r="N168" s="128">
        <f>N169+N170+N171+N172+N174</f>
        <v>0</v>
      </c>
      <c r="O168" s="128">
        <f>M168/K168*100</f>
        <v>17.86861464724586</v>
      </c>
      <c r="P168" s="128">
        <f aca="true" t="shared" si="47" ref="P168:P175">H168+K168</f>
        <v>7384.677129999999</v>
      </c>
      <c r="Q168" s="128">
        <f aca="true" t="shared" si="48" ref="Q168:Q175">I168+M168</f>
        <v>1529.9886999999999</v>
      </c>
      <c r="R168" s="128">
        <f aca="true" t="shared" si="49" ref="R168:R175">Q168-P168</f>
        <v>-5854.688429999999</v>
      </c>
      <c r="S168" s="128">
        <f aca="true" t="shared" si="50" ref="S168:S175">Q168/P168*100</f>
        <v>20.71842374508796</v>
      </c>
      <c r="T168" s="14">
        <f>SUM(T169:T174)</f>
        <v>343.22</v>
      </c>
      <c r="U168" s="22"/>
      <c r="V168" s="22"/>
    </row>
    <row r="169" spans="1:20" s="7" customFormat="1" ht="24" customHeight="1">
      <c r="A169" s="7">
        <v>1</v>
      </c>
      <c r="B169" s="7">
        <v>48</v>
      </c>
      <c r="C169" s="32" t="s">
        <v>124</v>
      </c>
      <c r="D169" s="32" t="s">
        <v>588</v>
      </c>
      <c r="E169" s="32" t="s">
        <v>589</v>
      </c>
      <c r="F169" s="5" t="s">
        <v>244</v>
      </c>
      <c r="G169" s="43" t="s">
        <v>260</v>
      </c>
      <c r="H169" s="128">
        <v>762.327</v>
      </c>
      <c r="I169" s="128">
        <v>183.23007</v>
      </c>
      <c r="J169" s="129">
        <f t="shared" si="46"/>
        <v>24.035626443770195</v>
      </c>
      <c r="K169" s="128">
        <f>1.39213</f>
        <v>1.39213</v>
      </c>
      <c r="L169" s="128"/>
      <c r="M169" s="128">
        <v>1.39213</v>
      </c>
      <c r="N169" s="128">
        <v>0</v>
      </c>
      <c r="O169" s="128">
        <f>M169/K169*100</f>
        <v>100</v>
      </c>
      <c r="P169" s="128">
        <f t="shared" si="47"/>
        <v>763.71913</v>
      </c>
      <c r="Q169" s="128">
        <f t="shared" si="48"/>
        <v>184.62220000000002</v>
      </c>
      <c r="R169" s="128">
        <f t="shared" si="49"/>
        <v>-579.0969299999999</v>
      </c>
      <c r="S169" s="128">
        <f t="shared" si="50"/>
        <v>24.174096568721545</v>
      </c>
      <c r="T169" s="14"/>
    </row>
    <row r="170" spans="1:20" s="7" customFormat="1" ht="29.25" customHeight="1">
      <c r="A170" s="7">
        <v>2</v>
      </c>
      <c r="B170" s="7">
        <v>49</v>
      </c>
      <c r="C170" s="32" t="s">
        <v>125</v>
      </c>
      <c r="D170" s="32" t="s">
        <v>590</v>
      </c>
      <c r="E170" s="32" t="s">
        <v>589</v>
      </c>
      <c r="F170" s="5" t="s">
        <v>248</v>
      </c>
      <c r="G170" s="33" t="s">
        <v>261</v>
      </c>
      <c r="H170" s="128">
        <f>532.404+35</f>
        <v>567.404</v>
      </c>
      <c r="I170" s="128">
        <v>126.4195</v>
      </c>
      <c r="J170" s="129">
        <f t="shared" si="46"/>
        <v>22.280332884505572</v>
      </c>
      <c r="K170" s="128">
        <v>50</v>
      </c>
      <c r="L170" s="128"/>
      <c r="M170" s="128"/>
      <c r="N170" s="128"/>
      <c r="O170" s="128"/>
      <c r="P170" s="128">
        <f t="shared" si="47"/>
        <v>617.404</v>
      </c>
      <c r="Q170" s="128">
        <f t="shared" si="48"/>
        <v>126.4195</v>
      </c>
      <c r="R170" s="128">
        <f t="shared" si="49"/>
        <v>-490.9845</v>
      </c>
      <c r="S170" s="128">
        <f t="shared" si="50"/>
        <v>20.475976832025708</v>
      </c>
      <c r="T170" s="14">
        <v>50</v>
      </c>
    </row>
    <row r="171" spans="3:20" s="7" customFormat="1" ht="42" customHeight="1">
      <c r="C171" s="32" t="s">
        <v>591</v>
      </c>
      <c r="D171" s="32" t="s">
        <v>592</v>
      </c>
      <c r="E171" s="32" t="s">
        <v>593</v>
      </c>
      <c r="F171" s="5" t="s">
        <v>436</v>
      </c>
      <c r="G171" s="33" t="s">
        <v>437</v>
      </c>
      <c r="H171" s="128">
        <v>492.054</v>
      </c>
      <c r="I171" s="128">
        <v>51.71635</v>
      </c>
      <c r="J171" s="129">
        <f t="shared" si="46"/>
        <v>10.510299682555168</v>
      </c>
      <c r="K171" s="128"/>
      <c r="L171" s="128"/>
      <c r="M171" s="128"/>
      <c r="N171" s="128"/>
      <c r="O171" s="128"/>
      <c r="P171" s="128">
        <f t="shared" si="47"/>
        <v>492.054</v>
      </c>
      <c r="Q171" s="128">
        <f t="shared" si="48"/>
        <v>51.71635</v>
      </c>
      <c r="R171" s="128">
        <f t="shared" si="49"/>
        <v>-440.33765</v>
      </c>
      <c r="S171" s="128">
        <f t="shared" si="50"/>
        <v>10.510299682555168</v>
      </c>
      <c r="T171" s="14"/>
    </row>
    <row r="172" spans="1:20" s="7" customFormat="1" ht="33.75" customHeight="1">
      <c r="A172" s="7">
        <v>3</v>
      </c>
      <c r="B172" s="7">
        <v>50</v>
      </c>
      <c r="C172" s="32" t="s">
        <v>127</v>
      </c>
      <c r="D172" s="32" t="s">
        <v>594</v>
      </c>
      <c r="E172" s="32" t="s">
        <v>466</v>
      </c>
      <c r="F172" s="5" t="s">
        <v>245</v>
      </c>
      <c r="G172" s="43" t="s">
        <v>126</v>
      </c>
      <c r="H172" s="128">
        <f>4419.891+195</f>
        <v>4614.891</v>
      </c>
      <c r="I172" s="128">
        <v>924.21291</v>
      </c>
      <c r="J172" s="129">
        <f t="shared" si="46"/>
        <v>20.02675491143778</v>
      </c>
      <c r="K172" s="128">
        <f>185.985+105</f>
        <v>290.985</v>
      </c>
      <c r="L172" s="128"/>
      <c r="M172" s="128">
        <f>59.78592</f>
        <v>59.78592</v>
      </c>
      <c r="N172" s="128">
        <v>0</v>
      </c>
      <c r="O172" s="128">
        <f>M172/K172*100</f>
        <v>20.546048765400275</v>
      </c>
      <c r="P172" s="128">
        <f t="shared" si="47"/>
        <v>4905.875999999999</v>
      </c>
      <c r="Q172" s="128">
        <f t="shared" si="48"/>
        <v>983.99883</v>
      </c>
      <c r="R172" s="128">
        <f t="shared" si="49"/>
        <v>-3921.8771699999993</v>
      </c>
      <c r="S172" s="128">
        <f t="shared" si="50"/>
        <v>20.057556081727306</v>
      </c>
      <c r="T172" s="14">
        <v>105</v>
      </c>
    </row>
    <row r="173" spans="1:20" s="7" customFormat="1" ht="32.25" customHeight="1">
      <c r="A173" s="7">
        <v>4</v>
      </c>
      <c r="B173" s="7">
        <v>51</v>
      </c>
      <c r="C173" s="5" t="s">
        <v>276</v>
      </c>
      <c r="D173" s="5" t="s">
        <v>595</v>
      </c>
      <c r="E173" s="5" t="s">
        <v>596</v>
      </c>
      <c r="F173" s="5" t="s">
        <v>246</v>
      </c>
      <c r="G173" s="43" t="s">
        <v>122</v>
      </c>
      <c r="H173" s="128">
        <f>SUM(H174:H175)</f>
        <v>1122.624</v>
      </c>
      <c r="I173" s="128">
        <f>SUM(I174:I175)</f>
        <v>183.23182</v>
      </c>
      <c r="J173" s="129">
        <f t="shared" si="46"/>
        <v>16.321744413089334</v>
      </c>
      <c r="K173" s="128">
        <f>SUM(K174:K175)</f>
        <v>252.5</v>
      </c>
      <c r="L173" s="128">
        <f>SUM(L174:L175)</f>
        <v>0</v>
      </c>
      <c r="M173" s="128">
        <f>SUM(M174:M175)</f>
        <v>5.5</v>
      </c>
      <c r="N173" s="128">
        <f>SUM(N174:N175)</f>
        <v>0</v>
      </c>
      <c r="O173" s="128">
        <f>M173/K173*100</f>
        <v>2.178217821782178</v>
      </c>
      <c r="P173" s="128">
        <f t="shared" si="47"/>
        <v>1375.124</v>
      </c>
      <c r="Q173" s="128">
        <f t="shared" si="48"/>
        <v>188.73182</v>
      </c>
      <c r="R173" s="128">
        <f t="shared" si="49"/>
        <v>-1186.39218</v>
      </c>
      <c r="S173" s="128">
        <f t="shared" si="50"/>
        <v>13.724712825897884</v>
      </c>
      <c r="T173" s="14">
        <f>SUM(T174:T175)</f>
        <v>188.22</v>
      </c>
    </row>
    <row r="174" spans="3:20" s="39" customFormat="1" ht="45" customHeight="1">
      <c r="C174" s="36" t="s">
        <v>277</v>
      </c>
      <c r="D174" s="36" t="s">
        <v>597</v>
      </c>
      <c r="E174" s="36" t="s">
        <v>596</v>
      </c>
      <c r="F174" s="36"/>
      <c r="G174" s="37" t="s">
        <v>4</v>
      </c>
      <c r="H174" s="130">
        <v>605.624</v>
      </c>
      <c r="I174" s="130">
        <v>133.59994</v>
      </c>
      <c r="J174" s="129">
        <f t="shared" si="46"/>
        <v>22.059882039020913</v>
      </c>
      <c r="K174" s="130"/>
      <c r="L174" s="130"/>
      <c r="M174" s="128"/>
      <c r="N174" s="128"/>
      <c r="O174" s="130"/>
      <c r="P174" s="128">
        <f t="shared" si="47"/>
        <v>605.624</v>
      </c>
      <c r="Q174" s="128">
        <f t="shared" si="48"/>
        <v>133.59994</v>
      </c>
      <c r="R174" s="128">
        <f t="shared" si="49"/>
        <v>-472.02406</v>
      </c>
      <c r="S174" s="128">
        <f t="shared" si="50"/>
        <v>22.059882039020913</v>
      </c>
      <c r="T174" s="38"/>
    </row>
    <row r="175" spans="3:20" s="39" customFormat="1" ht="65.25" customHeight="1">
      <c r="C175" s="36" t="s">
        <v>278</v>
      </c>
      <c r="D175" s="36" t="s">
        <v>598</v>
      </c>
      <c r="E175" s="36" t="s">
        <v>596</v>
      </c>
      <c r="F175" s="36"/>
      <c r="G175" s="45" t="s">
        <v>112</v>
      </c>
      <c r="H175" s="130">
        <v>517</v>
      </c>
      <c r="I175" s="130">
        <f>30.6+19.03188</f>
        <v>49.63188</v>
      </c>
      <c r="J175" s="129">
        <f t="shared" si="46"/>
        <v>9.599976789168279</v>
      </c>
      <c r="K175" s="130">
        <f>5.5+247</f>
        <v>252.5</v>
      </c>
      <c r="L175" s="130"/>
      <c r="M175" s="128">
        <v>5.5</v>
      </c>
      <c r="N175" s="128">
        <v>0</v>
      </c>
      <c r="O175" s="130"/>
      <c r="P175" s="128">
        <f t="shared" si="47"/>
        <v>769.5</v>
      </c>
      <c r="Q175" s="128">
        <f t="shared" si="48"/>
        <v>55.13188</v>
      </c>
      <c r="R175" s="128">
        <f t="shared" si="49"/>
        <v>-714.36812</v>
      </c>
      <c r="S175" s="128">
        <f t="shared" si="50"/>
        <v>7.164636777128005</v>
      </c>
      <c r="T175" s="38">
        <v>188.22</v>
      </c>
    </row>
    <row r="176" spans="3:20" s="7" customFormat="1" ht="36.75" customHeight="1">
      <c r="C176" s="32" t="s">
        <v>702</v>
      </c>
      <c r="D176" s="32" t="s">
        <v>600</v>
      </c>
      <c r="E176" s="32"/>
      <c r="F176" s="5" t="s">
        <v>201</v>
      </c>
      <c r="G176" s="33" t="s">
        <v>200</v>
      </c>
      <c r="H176" s="128">
        <f>SUM(H179:H182)+H187</f>
        <v>2928.2</v>
      </c>
      <c r="I176" s="128">
        <f>SUM(I179:I182)+I187</f>
        <v>551.05854</v>
      </c>
      <c r="J176" s="129">
        <f t="shared" si="46"/>
        <v>18.819019875691552</v>
      </c>
      <c r="K176" s="128"/>
      <c r="L176" s="128"/>
      <c r="M176" s="128"/>
      <c r="N176" s="128"/>
      <c r="O176" s="128"/>
      <c r="P176" s="128">
        <f aca="true" t="shared" si="51" ref="P176:P189">H176+K176</f>
        <v>2928.2</v>
      </c>
      <c r="Q176" s="128">
        <f aca="true" t="shared" si="52" ref="Q176:Q189">I176+M176</f>
        <v>551.05854</v>
      </c>
      <c r="R176" s="128">
        <f aca="true" t="shared" si="53" ref="R176:R189">Q176-P176</f>
        <v>-2377.14146</v>
      </c>
      <c r="S176" s="128">
        <f aca="true" t="shared" si="54" ref="S176:S189">Q176/P176*100</f>
        <v>18.819019875691552</v>
      </c>
      <c r="T176" s="14">
        <f>SUM(T178:T182)</f>
        <v>0</v>
      </c>
    </row>
    <row r="177" spans="1:21" s="7" customFormat="1" ht="32.25" customHeight="1">
      <c r="A177" s="7">
        <v>1</v>
      </c>
      <c r="B177" s="7">
        <v>53</v>
      </c>
      <c r="C177" s="32" t="s">
        <v>175</v>
      </c>
      <c r="D177" s="32" t="s">
        <v>601</v>
      </c>
      <c r="E177" s="32"/>
      <c r="F177" s="5"/>
      <c r="G177" s="33" t="s">
        <v>176</v>
      </c>
      <c r="H177" s="128">
        <f>H178+H181</f>
        <v>300.254</v>
      </c>
      <c r="I177" s="128">
        <f>I178+I181</f>
        <v>43.23019</v>
      </c>
      <c r="J177" s="129">
        <f t="shared" si="46"/>
        <v>14.397873134079811</v>
      </c>
      <c r="K177" s="128"/>
      <c r="L177" s="128"/>
      <c r="M177" s="128"/>
      <c r="N177" s="128"/>
      <c r="O177" s="128"/>
      <c r="P177" s="128">
        <f t="shared" si="51"/>
        <v>300.254</v>
      </c>
      <c r="Q177" s="128">
        <f t="shared" si="52"/>
        <v>43.23019</v>
      </c>
      <c r="R177" s="128">
        <f t="shared" si="53"/>
        <v>-257.02381</v>
      </c>
      <c r="S177" s="128">
        <f t="shared" si="54"/>
        <v>14.397873134079811</v>
      </c>
      <c r="T177" s="14">
        <f>SUM(T178:T181)</f>
        <v>0</v>
      </c>
      <c r="U177" s="22"/>
    </row>
    <row r="178" spans="3:21" s="39" customFormat="1" ht="59.25" customHeight="1">
      <c r="C178" s="35" t="s">
        <v>129</v>
      </c>
      <c r="D178" s="35" t="s">
        <v>602</v>
      </c>
      <c r="E178" s="35" t="s">
        <v>603</v>
      </c>
      <c r="F178" s="36" t="s">
        <v>282</v>
      </c>
      <c r="G178" s="45" t="s">
        <v>325</v>
      </c>
      <c r="H178" s="130">
        <f>SUM(H179:H180)</f>
        <v>173.224</v>
      </c>
      <c r="I178" s="130">
        <f>SUM(I179:I180)</f>
        <v>14.3644</v>
      </c>
      <c r="J178" s="129">
        <f t="shared" si="46"/>
        <v>8.292384427100172</v>
      </c>
      <c r="K178" s="130"/>
      <c r="L178" s="130"/>
      <c r="M178" s="130"/>
      <c r="N178" s="130"/>
      <c r="O178" s="140"/>
      <c r="P178" s="128">
        <f t="shared" si="51"/>
        <v>173.224</v>
      </c>
      <c r="Q178" s="128">
        <f t="shared" si="52"/>
        <v>14.3644</v>
      </c>
      <c r="R178" s="128">
        <f t="shared" si="53"/>
        <v>-158.8596</v>
      </c>
      <c r="S178" s="128">
        <f t="shared" si="54"/>
        <v>8.292384427100172</v>
      </c>
      <c r="T178" s="38"/>
      <c r="U178" s="54"/>
    </row>
    <row r="179" spans="3:20" s="39" customFormat="1" ht="60" customHeight="1">
      <c r="C179" s="35"/>
      <c r="D179" s="35"/>
      <c r="E179" s="35"/>
      <c r="F179" s="36"/>
      <c r="G179" s="45" t="s">
        <v>139</v>
      </c>
      <c r="H179" s="130">
        <v>173.224</v>
      </c>
      <c r="I179" s="130">
        <v>14.3644</v>
      </c>
      <c r="J179" s="129">
        <f t="shared" si="46"/>
        <v>8.292384427100172</v>
      </c>
      <c r="K179" s="130"/>
      <c r="L179" s="130"/>
      <c r="M179" s="130"/>
      <c r="N179" s="130"/>
      <c r="O179" s="140"/>
      <c r="P179" s="128">
        <f t="shared" si="51"/>
        <v>173.224</v>
      </c>
      <c r="Q179" s="128">
        <f t="shared" si="52"/>
        <v>14.3644</v>
      </c>
      <c r="R179" s="128">
        <f t="shared" si="53"/>
        <v>-158.8596</v>
      </c>
      <c r="S179" s="128">
        <f t="shared" si="54"/>
        <v>8.292384427100172</v>
      </c>
      <c r="T179" s="38"/>
    </row>
    <row r="180" spans="3:20" s="39" customFormat="1" ht="2.25" customHeight="1" hidden="1">
      <c r="C180" s="35"/>
      <c r="D180" s="35"/>
      <c r="E180" s="35"/>
      <c r="F180" s="36"/>
      <c r="G180" s="45" t="s">
        <v>117</v>
      </c>
      <c r="H180" s="130">
        <f>I180+L180</f>
        <v>0</v>
      </c>
      <c r="I180" s="130"/>
      <c r="J180" s="129" t="e">
        <f t="shared" si="46"/>
        <v>#DIV/0!</v>
      </c>
      <c r="K180" s="130"/>
      <c r="L180" s="130"/>
      <c r="M180" s="130"/>
      <c r="N180" s="130"/>
      <c r="O180" s="140"/>
      <c r="P180" s="128">
        <f t="shared" si="51"/>
        <v>0</v>
      </c>
      <c r="Q180" s="128">
        <f t="shared" si="52"/>
        <v>0</v>
      </c>
      <c r="R180" s="128">
        <f t="shared" si="53"/>
        <v>0</v>
      </c>
      <c r="S180" s="128" t="e">
        <f t="shared" si="54"/>
        <v>#DIV/0!</v>
      </c>
      <c r="T180" s="38"/>
    </row>
    <row r="181" spans="3:20" s="39" customFormat="1" ht="87" customHeight="1">
      <c r="C181" s="35" t="s">
        <v>130</v>
      </c>
      <c r="D181" s="35" t="s">
        <v>604</v>
      </c>
      <c r="E181" s="35" t="s">
        <v>603</v>
      </c>
      <c r="F181" s="36" t="s">
        <v>199</v>
      </c>
      <c r="G181" s="45" t="s">
        <v>111</v>
      </c>
      <c r="H181" s="130">
        <v>127.03</v>
      </c>
      <c r="I181" s="130">
        <v>28.86579</v>
      </c>
      <c r="J181" s="129">
        <f t="shared" si="46"/>
        <v>22.72360072423837</v>
      </c>
      <c r="K181" s="130"/>
      <c r="L181" s="130"/>
      <c r="M181" s="130"/>
      <c r="N181" s="130"/>
      <c r="O181" s="140"/>
      <c r="P181" s="128">
        <f t="shared" si="51"/>
        <v>127.03</v>
      </c>
      <c r="Q181" s="128">
        <f t="shared" si="52"/>
        <v>28.86579</v>
      </c>
      <c r="R181" s="128">
        <f t="shared" si="53"/>
        <v>-98.16421</v>
      </c>
      <c r="S181" s="128">
        <f t="shared" si="54"/>
        <v>22.72360072423837</v>
      </c>
      <c r="T181" s="38"/>
    </row>
    <row r="182" spans="1:21" s="7" customFormat="1" ht="32.25" customHeight="1">
      <c r="A182" s="7">
        <v>3</v>
      </c>
      <c r="B182" s="7">
        <v>55</v>
      </c>
      <c r="C182" s="32" t="s">
        <v>660</v>
      </c>
      <c r="D182" s="32" t="s">
        <v>661</v>
      </c>
      <c r="E182" s="32"/>
      <c r="F182" s="5"/>
      <c r="G182" s="33" t="s">
        <v>662</v>
      </c>
      <c r="H182" s="128">
        <f>H183</f>
        <v>2428.2</v>
      </c>
      <c r="I182" s="128">
        <f>I183</f>
        <v>464.46735</v>
      </c>
      <c r="J182" s="129">
        <f t="shared" si="46"/>
        <v>19.12805164319249</v>
      </c>
      <c r="K182" s="128"/>
      <c r="L182" s="128"/>
      <c r="M182" s="128"/>
      <c r="N182" s="128"/>
      <c r="O182" s="128"/>
      <c r="P182" s="128">
        <f t="shared" si="51"/>
        <v>2428.2</v>
      </c>
      <c r="Q182" s="128">
        <f t="shared" si="52"/>
        <v>464.46735</v>
      </c>
      <c r="R182" s="128">
        <f t="shared" si="53"/>
        <v>-1963.73265</v>
      </c>
      <c r="S182" s="128">
        <f t="shared" si="54"/>
        <v>19.12805164319249</v>
      </c>
      <c r="T182" s="14">
        <f>T183</f>
        <v>0</v>
      </c>
      <c r="U182" s="22"/>
    </row>
    <row r="183" spans="3:20" s="39" customFormat="1" ht="45.75" customHeight="1">
      <c r="C183" s="35" t="s">
        <v>663</v>
      </c>
      <c r="D183" s="35" t="s">
        <v>664</v>
      </c>
      <c r="E183" s="35" t="s">
        <v>603</v>
      </c>
      <c r="F183" s="36" t="s">
        <v>207</v>
      </c>
      <c r="G183" s="37" t="s">
        <v>606</v>
      </c>
      <c r="H183" s="130">
        <f>2248.2+180</f>
        <v>2428.2</v>
      </c>
      <c r="I183" s="130">
        <v>464.46735</v>
      </c>
      <c r="J183" s="129">
        <f t="shared" si="46"/>
        <v>19.12805164319249</v>
      </c>
      <c r="K183" s="130"/>
      <c r="L183" s="130"/>
      <c r="M183" s="128"/>
      <c r="N183" s="128"/>
      <c r="O183" s="130"/>
      <c r="P183" s="128">
        <f t="shared" si="51"/>
        <v>2428.2</v>
      </c>
      <c r="Q183" s="128">
        <f t="shared" si="52"/>
        <v>464.46735</v>
      </c>
      <c r="R183" s="128">
        <f t="shared" si="53"/>
        <v>-1963.73265</v>
      </c>
      <c r="S183" s="128">
        <f t="shared" si="54"/>
        <v>19.12805164319249</v>
      </c>
      <c r="T183" s="38"/>
    </row>
    <row r="184" spans="2:20" s="39" customFormat="1" ht="2.25" customHeight="1" hidden="1">
      <c r="B184" s="86">
        <v>56</v>
      </c>
      <c r="C184" s="32" t="s">
        <v>314</v>
      </c>
      <c r="D184" s="32"/>
      <c r="E184" s="32"/>
      <c r="F184" s="5" t="s">
        <v>3</v>
      </c>
      <c r="G184" s="42" t="s">
        <v>123</v>
      </c>
      <c r="H184" s="130">
        <f>SUM(H185:H186)</f>
        <v>0</v>
      </c>
      <c r="I184" s="130">
        <f>SUM(I185:I186)</f>
        <v>0</v>
      </c>
      <c r="J184" s="129" t="e">
        <f t="shared" si="46"/>
        <v>#DIV/0!</v>
      </c>
      <c r="K184" s="130"/>
      <c r="L184" s="130"/>
      <c r="M184" s="128"/>
      <c r="N184" s="128"/>
      <c r="O184" s="130">
        <f>SUM(O185:O186)</f>
        <v>0</v>
      </c>
      <c r="P184" s="128">
        <f t="shared" si="51"/>
        <v>0</v>
      </c>
      <c r="Q184" s="128">
        <f t="shared" si="52"/>
        <v>0</v>
      </c>
      <c r="R184" s="128">
        <f t="shared" si="53"/>
        <v>0</v>
      </c>
      <c r="S184" s="128" t="e">
        <f t="shared" si="54"/>
        <v>#DIV/0!</v>
      </c>
      <c r="T184" s="38">
        <f>SUM(T185:T186)</f>
        <v>0</v>
      </c>
    </row>
    <row r="185" spans="3:20" s="39" customFormat="1" ht="2.25" customHeight="1" hidden="1">
      <c r="C185" s="35" t="s">
        <v>315</v>
      </c>
      <c r="D185" s="35"/>
      <c r="E185" s="35"/>
      <c r="F185" s="36"/>
      <c r="G185" s="52" t="s">
        <v>63</v>
      </c>
      <c r="H185" s="130"/>
      <c r="I185" s="130"/>
      <c r="J185" s="129" t="e">
        <f t="shared" si="46"/>
        <v>#DIV/0!</v>
      </c>
      <c r="K185" s="130"/>
      <c r="L185" s="130"/>
      <c r="M185" s="128"/>
      <c r="N185" s="128"/>
      <c r="O185" s="130"/>
      <c r="P185" s="128">
        <f t="shared" si="51"/>
        <v>0</v>
      </c>
      <c r="Q185" s="128">
        <f t="shared" si="52"/>
        <v>0</v>
      </c>
      <c r="R185" s="128">
        <f t="shared" si="53"/>
        <v>0</v>
      </c>
      <c r="S185" s="128" t="e">
        <f t="shared" si="54"/>
        <v>#DIV/0!</v>
      </c>
      <c r="T185" s="38"/>
    </row>
    <row r="186" spans="3:20" s="39" customFormat="1" ht="2.25" customHeight="1" hidden="1">
      <c r="C186" s="35" t="s">
        <v>196</v>
      </c>
      <c r="D186" s="35"/>
      <c r="E186" s="35"/>
      <c r="F186" s="36"/>
      <c r="G186" s="52" t="s">
        <v>191</v>
      </c>
      <c r="H186" s="130"/>
      <c r="I186" s="130"/>
      <c r="J186" s="129" t="e">
        <f t="shared" si="46"/>
        <v>#DIV/0!</v>
      </c>
      <c r="K186" s="130"/>
      <c r="L186" s="130"/>
      <c r="M186" s="128"/>
      <c r="N186" s="128"/>
      <c r="O186" s="130"/>
      <c r="P186" s="128">
        <f t="shared" si="51"/>
        <v>0</v>
      </c>
      <c r="Q186" s="128">
        <f t="shared" si="52"/>
        <v>0</v>
      </c>
      <c r="R186" s="128">
        <f t="shared" si="53"/>
        <v>0</v>
      </c>
      <c r="S186" s="128" t="e">
        <f t="shared" si="54"/>
        <v>#DIV/0!</v>
      </c>
      <c r="T186" s="38"/>
    </row>
    <row r="187" spans="1:20" s="7" customFormat="1" ht="45" customHeight="1">
      <c r="A187" s="7">
        <v>2</v>
      </c>
      <c r="B187" s="7">
        <v>54</v>
      </c>
      <c r="C187" s="32" t="s">
        <v>131</v>
      </c>
      <c r="D187" s="32" t="s">
        <v>605</v>
      </c>
      <c r="E187" s="32" t="s">
        <v>603</v>
      </c>
      <c r="F187" s="5" t="s">
        <v>267</v>
      </c>
      <c r="G187" s="33" t="s">
        <v>646</v>
      </c>
      <c r="H187" s="128">
        <f>H188</f>
        <v>199.746</v>
      </c>
      <c r="I187" s="128">
        <f>I188</f>
        <v>43.361</v>
      </c>
      <c r="J187" s="129">
        <f t="shared" si="46"/>
        <v>21.708069247944888</v>
      </c>
      <c r="K187" s="128"/>
      <c r="L187" s="128"/>
      <c r="M187" s="128"/>
      <c r="N187" s="128"/>
      <c r="O187" s="185"/>
      <c r="P187" s="128">
        <f t="shared" si="51"/>
        <v>199.746</v>
      </c>
      <c r="Q187" s="128">
        <f t="shared" si="52"/>
        <v>43.361</v>
      </c>
      <c r="R187" s="128">
        <f t="shared" si="53"/>
        <v>-156.38500000000002</v>
      </c>
      <c r="S187" s="128">
        <f t="shared" si="54"/>
        <v>21.708069247944888</v>
      </c>
      <c r="T187" s="14"/>
    </row>
    <row r="188" spans="3:20" s="7" customFormat="1" ht="119.25" customHeight="1">
      <c r="C188" s="32" t="s">
        <v>644</v>
      </c>
      <c r="D188" s="32" t="s">
        <v>645</v>
      </c>
      <c r="E188" s="32" t="s">
        <v>603</v>
      </c>
      <c r="F188" s="5"/>
      <c r="G188" s="33" t="s">
        <v>647</v>
      </c>
      <c r="H188" s="128">
        <v>199.746</v>
      </c>
      <c r="I188" s="128">
        <v>43.361</v>
      </c>
      <c r="J188" s="129">
        <f t="shared" si="46"/>
        <v>21.708069247944888</v>
      </c>
      <c r="K188" s="128"/>
      <c r="L188" s="128"/>
      <c r="M188" s="128"/>
      <c r="N188" s="128"/>
      <c r="O188" s="185"/>
      <c r="P188" s="128">
        <f t="shared" si="51"/>
        <v>199.746</v>
      </c>
      <c r="Q188" s="128">
        <f t="shared" si="52"/>
        <v>43.361</v>
      </c>
      <c r="R188" s="128">
        <f t="shared" si="53"/>
        <v>-156.38500000000002</v>
      </c>
      <c r="S188" s="128">
        <f t="shared" si="54"/>
        <v>21.708069247944888</v>
      </c>
      <c r="T188" s="14"/>
    </row>
    <row r="189" spans="3:22" s="50" customFormat="1" ht="45" customHeight="1">
      <c r="C189" s="30"/>
      <c r="D189" s="30"/>
      <c r="E189" s="30"/>
      <c r="F189" s="187"/>
      <c r="G189" s="48" t="s">
        <v>142</v>
      </c>
      <c r="H189" s="132">
        <f>H182+H187+H177+H167+H164+H165+H184</f>
        <v>11390.9</v>
      </c>
      <c r="I189" s="132">
        <f>I182+I187+I177+I167+I164+I165+I184</f>
        <v>2228.8893799999996</v>
      </c>
      <c r="J189" s="129">
        <f t="shared" si="46"/>
        <v>19.567280724086768</v>
      </c>
      <c r="K189" s="132">
        <f>K182+K187+K177+K167+K164+K165+K184</f>
        <v>594.8771300000001</v>
      </c>
      <c r="L189" s="132">
        <f>L182+L187+L177+L167+L164+L165+L184</f>
        <v>0</v>
      </c>
      <c r="M189" s="132">
        <f>M182+M187+M177+M167+M164+M165+M184</f>
        <v>66.67805</v>
      </c>
      <c r="N189" s="132">
        <f>N182+N187+N177+N167+N164+N165+N184</f>
        <v>0</v>
      </c>
      <c r="O189" s="132">
        <f>O182+O187+O177+O167+O164+O165+O184</f>
        <v>11.208709603611757</v>
      </c>
      <c r="P189" s="128">
        <f t="shared" si="51"/>
        <v>11985.77713</v>
      </c>
      <c r="Q189" s="128">
        <f t="shared" si="52"/>
        <v>2295.5674299999996</v>
      </c>
      <c r="R189" s="128">
        <f t="shared" si="53"/>
        <v>-9690.209700000001</v>
      </c>
      <c r="S189" s="128">
        <f t="shared" si="54"/>
        <v>19.152428792074492</v>
      </c>
      <c r="T189" s="63">
        <f>T182+T187+T177+T167+T164+T165+T184</f>
        <v>343.22</v>
      </c>
      <c r="U189" s="53"/>
      <c r="V189" s="53"/>
    </row>
    <row r="190" spans="3:21" s="7" customFormat="1" ht="58.5" customHeight="1">
      <c r="C190" s="30" t="s">
        <v>163</v>
      </c>
      <c r="D190" s="32"/>
      <c r="E190" s="32"/>
      <c r="F190" s="5"/>
      <c r="G190" s="31" t="s">
        <v>166</v>
      </c>
      <c r="H190" s="128"/>
      <c r="I190" s="128"/>
      <c r="J190" s="129"/>
      <c r="K190" s="128"/>
      <c r="L190" s="128"/>
      <c r="M190" s="130"/>
      <c r="N190" s="130"/>
      <c r="O190" s="128"/>
      <c r="P190" s="128"/>
      <c r="Q190" s="128"/>
      <c r="R190" s="128"/>
      <c r="S190" s="128"/>
      <c r="T190" s="14"/>
      <c r="U190" s="22"/>
    </row>
    <row r="191" spans="3:21" s="7" customFormat="1" ht="75" customHeight="1">
      <c r="C191" s="119" t="s">
        <v>164</v>
      </c>
      <c r="D191" s="32"/>
      <c r="E191" s="32"/>
      <c r="F191" s="5"/>
      <c r="G191" s="31" t="s">
        <v>165</v>
      </c>
      <c r="H191" s="128"/>
      <c r="I191" s="128"/>
      <c r="J191" s="129"/>
      <c r="K191" s="128"/>
      <c r="L191" s="128"/>
      <c r="M191" s="130"/>
      <c r="N191" s="130"/>
      <c r="O191" s="128"/>
      <c r="P191" s="128"/>
      <c r="Q191" s="128"/>
      <c r="R191" s="128"/>
      <c r="S191" s="128"/>
      <c r="T191" s="14"/>
      <c r="U191" s="22"/>
    </row>
    <row r="192" spans="1:20" s="7" customFormat="1" ht="117.75" customHeight="1">
      <c r="A192" s="7">
        <v>5</v>
      </c>
      <c r="B192" s="7">
        <v>36</v>
      </c>
      <c r="C192" s="32" t="s">
        <v>309</v>
      </c>
      <c r="D192" s="32" t="s">
        <v>439</v>
      </c>
      <c r="E192" s="32" t="s">
        <v>440</v>
      </c>
      <c r="F192" s="5" t="s">
        <v>205</v>
      </c>
      <c r="G192" s="33" t="s">
        <v>626</v>
      </c>
      <c r="H192" s="129">
        <f>2994.3+85.1</f>
        <v>3079.4</v>
      </c>
      <c r="I192" s="129">
        <v>597.04965</v>
      </c>
      <c r="J192" s="129">
        <f t="shared" si="46"/>
        <v>19.3885058777684</v>
      </c>
      <c r="K192" s="129"/>
      <c r="L192" s="129"/>
      <c r="M192" s="128"/>
      <c r="N192" s="128"/>
      <c r="O192" s="129"/>
      <c r="P192" s="129">
        <f>H192+K192</f>
        <v>3079.4</v>
      </c>
      <c r="Q192" s="129">
        <f>I192+M192</f>
        <v>597.04965</v>
      </c>
      <c r="R192" s="129">
        <f>Q192-P192</f>
        <v>-2482.35035</v>
      </c>
      <c r="S192" s="129">
        <f>Q192/P192*100</f>
        <v>19.3885058777684</v>
      </c>
      <c r="T192" s="34"/>
    </row>
    <row r="193" spans="3:20" s="7" customFormat="1" ht="43.5" customHeight="1">
      <c r="C193" s="32" t="s">
        <v>399</v>
      </c>
      <c r="D193" s="32" t="s">
        <v>460</v>
      </c>
      <c r="E193" s="32" t="s">
        <v>461</v>
      </c>
      <c r="F193" s="5" t="s">
        <v>237</v>
      </c>
      <c r="G193" s="33" t="s">
        <v>427</v>
      </c>
      <c r="H193" s="129">
        <f>H194</f>
        <v>0</v>
      </c>
      <c r="I193" s="129">
        <f>I194</f>
        <v>0</v>
      </c>
      <c r="J193" s="129"/>
      <c r="K193" s="129">
        <f>K194</f>
        <v>1936.4</v>
      </c>
      <c r="L193" s="129">
        <f>L194</f>
        <v>0</v>
      </c>
      <c r="M193" s="128">
        <f>M194</f>
        <v>0</v>
      </c>
      <c r="N193" s="128">
        <f>N194</f>
        <v>0</v>
      </c>
      <c r="O193" s="129">
        <f>M193/K193*100</f>
        <v>0</v>
      </c>
      <c r="P193" s="129">
        <f>H193+K193</f>
        <v>1936.4</v>
      </c>
      <c r="Q193" s="129">
        <f>I193+M193</f>
        <v>0</v>
      </c>
      <c r="R193" s="129">
        <f>Q193-P193</f>
        <v>-1936.4</v>
      </c>
      <c r="S193" s="129">
        <f>Q193/P193*100</f>
        <v>0</v>
      </c>
      <c r="T193" s="34">
        <f>T194</f>
        <v>1936.3999999999999</v>
      </c>
    </row>
    <row r="194" spans="3:20" s="7" customFormat="1" ht="73.5" customHeight="1">
      <c r="C194" s="32"/>
      <c r="D194" s="32"/>
      <c r="E194" s="32"/>
      <c r="F194" s="5"/>
      <c r="G194" s="45" t="s">
        <v>400</v>
      </c>
      <c r="H194" s="129"/>
      <c r="I194" s="135"/>
      <c r="J194" s="129"/>
      <c r="K194" s="128">
        <v>1936.4</v>
      </c>
      <c r="L194" s="128"/>
      <c r="M194" s="128">
        <v>0</v>
      </c>
      <c r="N194" s="128">
        <v>0</v>
      </c>
      <c r="O194" s="129">
        <f>M194/K194*100</f>
        <v>0</v>
      </c>
      <c r="P194" s="129">
        <f>H194+K194</f>
        <v>1936.4</v>
      </c>
      <c r="Q194" s="129">
        <f>I194+M194</f>
        <v>0</v>
      </c>
      <c r="R194" s="129">
        <f>Q194-P194</f>
        <v>-1936.4</v>
      </c>
      <c r="S194" s="129">
        <f>Q194/P194*100</f>
        <v>0</v>
      </c>
      <c r="T194" s="34">
        <f>1908.1+28.3</f>
        <v>1936.3999999999999</v>
      </c>
    </row>
    <row r="195" spans="3:20" s="7" customFormat="1" ht="88.5" customHeight="1">
      <c r="C195" s="32" t="s">
        <v>385</v>
      </c>
      <c r="D195" s="32" t="s">
        <v>463</v>
      </c>
      <c r="E195" s="32" t="s">
        <v>464</v>
      </c>
      <c r="F195" s="5" t="s">
        <v>238</v>
      </c>
      <c r="G195" s="33" t="s">
        <v>386</v>
      </c>
      <c r="H195" s="129">
        <f>SUM(H196:H196)</f>
        <v>0</v>
      </c>
      <c r="I195" s="129">
        <f>SUM(I196:I196)</f>
        <v>0</v>
      </c>
      <c r="J195" s="129"/>
      <c r="K195" s="129">
        <f>K196</f>
        <v>6728.3</v>
      </c>
      <c r="L195" s="129">
        <f>SUM(L196:L196)</f>
        <v>0</v>
      </c>
      <c r="M195" s="130">
        <f>M196</f>
        <v>0</v>
      </c>
      <c r="N195" s="130">
        <f>N196</f>
        <v>0</v>
      </c>
      <c r="O195" s="129">
        <f>M195/K195*100</f>
        <v>0</v>
      </c>
      <c r="P195" s="129">
        <f>H195+K195</f>
        <v>6728.3</v>
      </c>
      <c r="Q195" s="129">
        <f>I195+M195</f>
        <v>0</v>
      </c>
      <c r="R195" s="129">
        <f>Q195-P195</f>
        <v>-6728.3</v>
      </c>
      <c r="S195" s="129">
        <f>Q195/P195*100</f>
        <v>0</v>
      </c>
      <c r="T195" s="34">
        <f>SUM(T196:T196)</f>
        <v>6728.3</v>
      </c>
    </row>
    <row r="196" spans="3:20" s="39" customFormat="1" ht="80.25" customHeight="1">
      <c r="C196" s="35"/>
      <c r="D196" s="35"/>
      <c r="E196" s="35"/>
      <c r="F196" s="36"/>
      <c r="G196" s="45" t="s">
        <v>400</v>
      </c>
      <c r="H196" s="133">
        <f>I196+L196</f>
        <v>0</v>
      </c>
      <c r="I196" s="133"/>
      <c r="J196" s="129"/>
      <c r="K196" s="133">
        <v>6728.3</v>
      </c>
      <c r="L196" s="133"/>
      <c r="M196" s="130">
        <v>0</v>
      </c>
      <c r="N196" s="130">
        <v>0</v>
      </c>
      <c r="O196" s="129">
        <f>M196/K196*100</f>
        <v>0</v>
      </c>
      <c r="P196" s="129">
        <f>H196+K196</f>
        <v>6728.3</v>
      </c>
      <c r="Q196" s="129">
        <f>I196+M196</f>
        <v>0</v>
      </c>
      <c r="R196" s="129">
        <f>Q196-P196</f>
        <v>-6728.3</v>
      </c>
      <c r="S196" s="131">
        <f>Q196/P196*100</f>
        <v>0</v>
      </c>
      <c r="T196" s="56">
        <f>6700+56.6-28.3</f>
        <v>6728.3</v>
      </c>
    </row>
    <row r="197" spans="3:20" s="7" customFormat="1" ht="87.75" customHeight="1">
      <c r="C197" s="32" t="s">
        <v>384</v>
      </c>
      <c r="D197" s="32" t="s">
        <v>478</v>
      </c>
      <c r="E197" s="32" t="s">
        <v>570</v>
      </c>
      <c r="F197" s="5" t="s">
        <v>341</v>
      </c>
      <c r="G197" s="33" t="s">
        <v>342</v>
      </c>
      <c r="H197" s="129">
        <f>I197+L197</f>
        <v>0</v>
      </c>
      <c r="I197" s="129"/>
      <c r="J197" s="129"/>
      <c r="K197" s="129"/>
      <c r="L197" s="129"/>
      <c r="M197" s="128"/>
      <c r="N197" s="128"/>
      <c r="O197" s="129"/>
      <c r="P197" s="129"/>
      <c r="Q197" s="129"/>
      <c r="R197" s="129"/>
      <c r="S197" s="129"/>
      <c r="T197" s="34"/>
    </row>
    <row r="198" spans="1:21" s="71" customFormat="1" ht="64.5" customHeight="1">
      <c r="A198" s="7">
        <v>1</v>
      </c>
      <c r="B198" s="7">
        <v>37</v>
      </c>
      <c r="C198" s="32" t="s">
        <v>103</v>
      </c>
      <c r="D198" s="32" t="s">
        <v>573</v>
      </c>
      <c r="E198" s="32" t="s">
        <v>574</v>
      </c>
      <c r="F198" s="5" t="s">
        <v>44</v>
      </c>
      <c r="G198" s="41" t="s">
        <v>364</v>
      </c>
      <c r="H198" s="128">
        <f>SUM(H199:H201)</f>
        <v>4084.708</v>
      </c>
      <c r="I198" s="128">
        <f>SUM(I199:I201)</f>
        <v>1437.8098100000002</v>
      </c>
      <c r="J198" s="129">
        <f t="shared" si="46"/>
        <v>35.199818689610126</v>
      </c>
      <c r="K198" s="128">
        <f>SUM(K199:K201)</f>
        <v>0</v>
      </c>
      <c r="L198" s="128">
        <f>SUM(L199:L201)</f>
        <v>0</v>
      </c>
      <c r="M198" s="128">
        <f>SUM(M199:M201)</f>
        <v>0</v>
      </c>
      <c r="N198" s="128">
        <f>SUM(N199:N201)</f>
        <v>0</v>
      </c>
      <c r="O198" s="128">
        <f>SUM(O199:O201)</f>
        <v>0</v>
      </c>
      <c r="P198" s="128">
        <f>H198+K198</f>
        <v>4084.708</v>
      </c>
      <c r="Q198" s="128">
        <f>I198+M198</f>
        <v>1437.8098100000002</v>
      </c>
      <c r="R198" s="128">
        <f aca="true" t="shared" si="55" ref="R198:R216">Q198-P198</f>
        <v>-2646.89819</v>
      </c>
      <c r="S198" s="128">
        <f aca="true" t="shared" si="56" ref="S198:S216">Q198/P198*100</f>
        <v>35.199818689610126</v>
      </c>
      <c r="T198" s="14">
        <f>SUM(T199:T201)</f>
        <v>0</v>
      </c>
      <c r="U198" s="70"/>
    </row>
    <row r="199" spans="1:21" s="101" customFormat="1" ht="66.75" customHeight="1">
      <c r="A199" s="39"/>
      <c r="B199" s="39"/>
      <c r="C199" s="35"/>
      <c r="D199" s="35"/>
      <c r="E199" s="35"/>
      <c r="F199" s="36"/>
      <c r="G199" s="55" t="s">
        <v>365</v>
      </c>
      <c r="H199" s="130">
        <f>500+2000+230+354.708</f>
        <v>3084.708</v>
      </c>
      <c r="I199" s="130">
        <f>23.85+889.92587</f>
        <v>913.77587</v>
      </c>
      <c r="J199" s="129">
        <f t="shared" si="46"/>
        <v>29.622767211677736</v>
      </c>
      <c r="K199" s="130"/>
      <c r="L199" s="130"/>
      <c r="M199" s="137"/>
      <c r="N199" s="137"/>
      <c r="O199" s="130"/>
      <c r="P199" s="128">
        <f>H199+K199</f>
        <v>3084.708</v>
      </c>
      <c r="Q199" s="128">
        <f>I199+M199</f>
        <v>913.77587</v>
      </c>
      <c r="R199" s="128">
        <f t="shared" si="55"/>
        <v>-2170.93213</v>
      </c>
      <c r="S199" s="128">
        <f t="shared" si="56"/>
        <v>29.622767211677736</v>
      </c>
      <c r="T199" s="38"/>
      <c r="U199" s="100"/>
    </row>
    <row r="200" spans="1:21" s="101" customFormat="1" ht="48" customHeight="1">
      <c r="A200" s="39"/>
      <c r="B200" s="39"/>
      <c r="C200" s="35"/>
      <c r="D200" s="35"/>
      <c r="E200" s="35"/>
      <c r="F200" s="36"/>
      <c r="G200" s="55" t="s">
        <v>395</v>
      </c>
      <c r="H200" s="130">
        <v>1000</v>
      </c>
      <c r="I200" s="130">
        <v>524.03394</v>
      </c>
      <c r="J200" s="129">
        <f t="shared" si="46"/>
        <v>52.403394000000006</v>
      </c>
      <c r="K200" s="130"/>
      <c r="L200" s="130"/>
      <c r="M200" s="137"/>
      <c r="N200" s="137"/>
      <c r="O200" s="130"/>
      <c r="P200" s="128">
        <f>H200+K200</f>
        <v>1000</v>
      </c>
      <c r="Q200" s="128">
        <f>I200+M200</f>
        <v>524.03394</v>
      </c>
      <c r="R200" s="128">
        <f t="shared" si="55"/>
        <v>-475.96605999999997</v>
      </c>
      <c r="S200" s="128">
        <f t="shared" si="56"/>
        <v>52.403394000000006</v>
      </c>
      <c r="T200" s="38"/>
      <c r="U200" s="100"/>
    </row>
    <row r="201" spans="1:21" s="101" customFormat="1" ht="2.25" customHeight="1" hidden="1">
      <c r="A201" s="39"/>
      <c r="B201" s="39"/>
      <c r="C201" s="35"/>
      <c r="D201" s="35"/>
      <c r="E201" s="35"/>
      <c r="F201" s="36"/>
      <c r="G201" s="55" t="s">
        <v>366</v>
      </c>
      <c r="H201" s="130">
        <f>I201+L201</f>
        <v>0</v>
      </c>
      <c r="I201" s="130"/>
      <c r="J201" s="129" t="e">
        <f t="shared" si="46"/>
        <v>#DIV/0!</v>
      </c>
      <c r="K201" s="130"/>
      <c r="L201" s="130"/>
      <c r="M201" s="137"/>
      <c r="N201" s="137"/>
      <c r="O201" s="130"/>
      <c r="P201" s="130"/>
      <c r="Q201" s="130"/>
      <c r="R201" s="128">
        <f t="shared" si="55"/>
        <v>0</v>
      </c>
      <c r="S201" s="128" t="e">
        <f t="shared" si="56"/>
        <v>#DIV/0!</v>
      </c>
      <c r="T201" s="38"/>
      <c r="U201" s="100"/>
    </row>
    <row r="202" spans="1:22" s="71" customFormat="1" ht="39.75" customHeight="1">
      <c r="A202" s="7">
        <v>2</v>
      </c>
      <c r="B202" s="7">
        <v>38</v>
      </c>
      <c r="C202" s="32" t="s">
        <v>169</v>
      </c>
      <c r="D202" s="32" t="s">
        <v>575</v>
      </c>
      <c r="E202" s="32"/>
      <c r="F202" s="5"/>
      <c r="G202" s="33" t="s">
        <v>118</v>
      </c>
      <c r="H202" s="128">
        <f aca="true" t="shared" si="57" ref="H202:T202">H203+H209</f>
        <v>0</v>
      </c>
      <c r="I202" s="128">
        <f t="shared" si="57"/>
        <v>0</v>
      </c>
      <c r="J202" s="129"/>
      <c r="K202" s="128">
        <f t="shared" si="57"/>
        <v>7961.7</v>
      </c>
      <c r="L202" s="128">
        <f t="shared" si="57"/>
        <v>0</v>
      </c>
      <c r="M202" s="128">
        <f t="shared" si="57"/>
        <v>8.27393</v>
      </c>
      <c r="N202" s="128">
        <f t="shared" si="57"/>
        <v>8.27393</v>
      </c>
      <c r="O202" s="128">
        <f>M202/K202*100</f>
        <v>0.10392164989889094</v>
      </c>
      <c r="P202" s="128">
        <f>H202+K202</f>
        <v>7961.7</v>
      </c>
      <c r="Q202" s="128">
        <f aca="true" t="shared" si="58" ref="Q202:Q209">I202+M202</f>
        <v>8.27393</v>
      </c>
      <c r="R202" s="128">
        <f t="shared" si="55"/>
        <v>-7953.4260699999995</v>
      </c>
      <c r="S202" s="128">
        <f t="shared" si="56"/>
        <v>0.10392164989889094</v>
      </c>
      <c r="T202" s="14">
        <f t="shared" si="57"/>
        <v>7961.7</v>
      </c>
      <c r="U202" s="14"/>
      <c r="V202" s="14"/>
    </row>
    <row r="203" spans="3:22" s="71" customFormat="1" ht="39.75" customHeight="1">
      <c r="C203" s="35" t="s">
        <v>104</v>
      </c>
      <c r="D203" s="35" t="s">
        <v>576</v>
      </c>
      <c r="E203" s="35" t="s">
        <v>574</v>
      </c>
      <c r="F203" s="36" t="s">
        <v>220</v>
      </c>
      <c r="G203" s="45" t="s">
        <v>119</v>
      </c>
      <c r="H203" s="130">
        <f>SUM(H204:H207)</f>
        <v>0</v>
      </c>
      <c r="I203" s="130">
        <f>SUM(I204:I207)</f>
        <v>0</v>
      </c>
      <c r="J203" s="129"/>
      <c r="K203" s="130">
        <f>SUM(K204:K207)</f>
        <v>5351.7</v>
      </c>
      <c r="L203" s="130"/>
      <c r="M203" s="130">
        <f>M204+M205</f>
        <v>0</v>
      </c>
      <c r="N203" s="130">
        <f>N204+N205</f>
        <v>0</v>
      </c>
      <c r="O203" s="130">
        <f>SUM(O204:O208)</f>
        <v>0</v>
      </c>
      <c r="P203" s="128">
        <f>H203+K203</f>
        <v>5351.7</v>
      </c>
      <c r="Q203" s="128">
        <f t="shared" si="58"/>
        <v>0</v>
      </c>
      <c r="R203" s="128">
        <f t="shared" si="55"/>
        <v>-5351.7</v>
      </c>
      <c r="S203" s="128">
        <f t="shared" si="56"/>
        <v>0</v>
      </c>
      <c r="T203" s="14">
        <f>SUM(T204:T208)</f>
        <v>5351.7</v>
      </c>
      <c r="U203" s="14"/>
      <c r="V203" s="14"/>
    </row>
    <row r="204" spans="3:21" s="39" customFormat="1" ht="57.75" customHeight="1">
      <c r="C204" s="35"/>
      <c r="D204" s="35"/>
      <c r="E204" s="35"/>
      <c r="F204" s="36"/>
      <c r="G204" s="45" t="s">
        <v>365</v>
      </c>
      <c r="H204" s="130"/>
      <c r="I204" s="130"/>
      <c r="J204" s="129"/>
      <c r="K204" s="130">
        <f>2805+2526.7</f>
        <v>5331.7</v>
      </c>
      <c r="L204" s="130"/>
      <c r="M204" s="128">
        <v>0</v>
      </c>
      <c r="N204" s="128">
        <v>0</v>
      </c>
      <c r="O204" s="130"/>
      <c r="P204" s="128">
        <f>H204+K204</f>
        <v>5331.7</v>
      </c>
      <c r="Q204" s="128">
        <f t="shared" si="58"/>
        <v>0</v>
      </c>
      <c r="R204" s="128">
        <f t="shared" si="55"/>
        <v>-5331.7</v>
      </c>
      <c r="S204" s="128">
        <f t="shared" si="56"/>
        <v>0</v>
      </c>
      <c r="T204" s="38">
        <f>2200+1200+605+1326.7+150-150</f>
        <v>5331.7</v>
      </c>
      <c r="U204" s="54"/>
    </row>
    <row r="205" spans="3:20" s="18" customFormat="1" ht="58.5" customHeight="1">
      <c r="C205" s="32"/>
      <c r="D205" s="32"/>
      <c r="E205" s="32"/>
      <c r="F205" s="36"/>
      <c r="G205" s="45" t="s">
        <v>577</v>
      </c>
      <c r="H205" s="130"/>
      <c r="I205" s="128"/>
      <c r="J205" s="129"/>
      <c r="K205" s="128">
        <v>20</v>
      </c>
      <c r="L205" s="128"/>
      <c r="M205" s="128">
        <v>0</v>
      </c>
      <c r="N205" s="128">
        <v>0</v>
      </c>
      <c r="O205" s="128"/>
      <c r="P205" s="128">
        <f>K205+H205</f>
        <v>20</v>
      </c>
      <c r="Q205" s="128">
        <f t="shared" si="58"/>
        <v>0</v>
      </c>
      <c r="R205" s="128">
        <f t="shared" si="55"/>
        <v>-20</v>
      </c>
      <c r="S205" s="128">
        <f t="shared" si="56"/>
        <v>0</v>
      </c>
      <c r="T205" s="38">
        <v>20</v>
      </c>
    </row>
    <row r="206" spans="1:21" s="101" customFormat="1" ht="2.25" customHeight="1" hidden="1">
      <c r="A206" s="39"/>
      <c r="B206" s="39"/>
      <c r="C206" s="35"/>
      <c r="D206" s="35"/>
      <c r="E206" s="35"/>
      <c r="F206" s="36"/>
      <c r="G206" s="55" t="s">
        <v>395</v>
      </c>
      <c r="H206" s="130"/>
      <c r="I206" s="130"/>
      <c r="J206" s="129" t="e">
        <f t="shared" si="46"/>
        <v>#DIV/0!</v>
      </c>
      <c r="K206" s="130"/>
      <c r="L206" s="130"/>
      <c r="M206" s="137"/>
      <c r="N206" s="137"/>
      <c r="O206" s="130"/>
      <c r="P206" s="128">
        <f>H206+K206</f>
        <v>0</v>
      </c>
      <c r="Q206" s="128">
        <f t="shared" si="58"/>
        <v>0</v>
      </c>
      <c r="R206" s="128">
        <f t="shared" si="55"/>
        <v>0</v>
      </c>
      <c r="S206" s="128" t="e">
        <f t="shared" si="56"/>
        <v>#DIV/0!</v>
      </c>
      <c r="T206" s="38"/>
      <c r="U206" s="100"/>
    </row>
    <row r="207" spans="3:20" s="39" customFormat="1" ht="2.25" customHeight="1" hidden="1">
      <c r="C207" s="35"/>
      <c r="D207" s="35"/>
      <c r="E207" s="35"/>
      <c r="F207" s="36" t="s">
        <v>220</v>
      </c>
      <c r="G207" s="45" t="s">
        <v>120</v>
      </c>
      <c r="H207" s="130"/>
      <c r="I207" s="130"/>
      <c r="J207" s="129" t="e">
        <f t="shared" si="46"/>
        <v>#DIV/0!</v>
      </c>
      <c r="K207" s="130"/>
      <c r="L207" s="130"/>
      <c r="M207" s="137"/>
      <c r="N207" s="137"/>
      <c r="O207" s="140"/>
      <c r="P207" s="128">
        <f>H207+K207</f>
        <v>0</v>
      </c>
      <c r="Q207" s="128">
        <f t="shared" si="58"/>
        <v>0</v>
      </c>
      <c r="R207" s="128">
        <f t="shared" si="55"/>
        <v>0</v>
      </c>
      <c r="S207" s="128" t="e">
        <f t="shared" si="56"/>
        <v>#DIV/0!</v>
      </c>
      <c r="T207" s="38"/>
    </row>
    <row r="208" spans="3:20" s="39" customFormat="1" ht="2.25" customHeight="1" hidden="1">
      <c r="C208" s="35"/>
      <c r="D208" s="35"/>
      <c r="E208" s="35"/>
      <c r="F208" s="36" t="s">
        <v>220</v>
      </c>
      <c r="G208" s="45" t="s">
        <v>91</v>
      </c>
      <c r="H208" s="130"/>
      <c r="I208" s="130"/>
      <c r="J208" s="129" t="e">
        <f t="shared" si="46"/>
        <v>#DIV/0!</v>
      </c>
      <c r="K208" s="130"/>
      <c r="L208" s="130"/>
      <c r="M208" s="137"/>
      <c r="N208" s="137"/>
      <c r="O208" s="140"/>
      <c r="P208" s="128">
        <f>H208+K208</f>
        <v>0</v>
      </c>
      <c r="Q208" s="128">
        <f t="shared" si="58"/>
        <v>0</v>
      </c>
      <c r="R208" s="128">
        <f t="shared" si="55"/>
        <v>0</v>
      </c>
      <c r="S208" s="128" t="e">
        <f t="shared" si="56"/>
        <v>#DIV/0!</v>
      </c>
      <c r="T208" s="38"/>
    </row>
    <row r="209" spans="3:20" s="39" customFormat="1" ht="98.25" customHeight="1">
      <c r="C209" s="35" t="s">
        <v>634</v>
      </c>
      <c r="D209" s="35" t="s">
        <v>726</v>
      </c>
      <c r="E209" s="35" t="s">
        <v>574</v>
      </c>
      <c r="F209" s="36" t="s">
        <v>635</v>
      </c>
      <c r="G209" s="45" t="s">
        <v>636</v>
      </c>
      <c r="H209" s="130"/>
      <c r="I209" s="130"/>
      <c r="J209" s="129"/>
      <c r="K209" s="130">
        <v>2610</v>
      </c>
      <c r="L209" s="130"/>
      <c r="M209" s="137">
        <v>8.27393</v>
      </c>
      <c r="N209" s="137">
        <v>8.27393</v>
      </c>
      <c r="O209" s="130">
        <f>M209/K209*100</f>
        <v>0.3170088122605364</v>
      </c>
      <c r="P209" s="128">
        <f>H209+K209</f>
        <v>2610</v>
      </c>
      <c r="Q209" s="128">
        <f t="shared" si="58"/>
        <v>8.27393</v>
      </c>
      <c r="R209" s="128">
        <f t="shared" si="55"/>
        <v>-2601.72607</v>
      </c>
      <c r="S209" s="128">
        <f t="shared" si="56"/>
        <v>0.3170088122605364</v>
      </c>
      <c r="T209" s="38">
        <f>480+1710+420</f>
        <v>2610</v>
      </c>
    </row>
    <row r="210" spans="1:21" s="7" customFormat="1" ht="48.75" customHeight="1">
      <c r="A210" s="7">
        <v>3</v>
      </c>
      <c r="B210" s="7">
        <v>39</v>
      </c>
      <c r="C210" s="32" t="s">
        <v>170</v>
      </c>
      <c r="D210" s="32" t="s">
        <v>578</v>
      </c>
      <c r="E210" s="32"/>
      <c r="F210" s="5"/>
      <c r="G210" s="33" t="s">
        <v>69</v>
      </c>
      <c r="H210" s="128">
        <f>SUM(H213:H217)</f>
        <v>15</v>
      </c>
      <c r="I210" s="128">
        <f>SUM(I213:I217)</f>
        <v>0</v>
      </c>
      <c r="J210" s="129">
        <f t="shared" si="46"/>
        <v>0</v>
      </c>
      <c r="K210" s="128">
        <f>K211+K212</f>
        <v>1168</v>
      </c>
      <c r="L210" s="128">
        <f>L211+L212</f>
        <v>0</v>
      </c>
      <c r="M210" s="128">
        <f>M211+M212</f>
        <v>0</v>
      </c>
      <c r="N210" s="128">
        <f>N211+N212</f>
        <v>0</v>
      </c>
      <c r="O210" s="130">
        <f>M210/K210*100</f>
        <v>0</v>
      </c>
      <c r="P210" s="128">
        <f>P211+P212</f>
        <v>1183</v>
      </c>
      <c r="Q210" s="128">
        <f>Q211+Q212</f>
        <v>0</v>
      </c>
      <c r="R210" s="128">
        <f t="shared" si="55"/>
        <v>-1183</v>
      </c>
      <c r="S210" s="128">
        <f t="shared" si="56"/>
        <v>0</v>
      </c>
      <c r="T210" s="14">
        <f>T211+T212</f>
        <v>1168</v>
      </c>
      <c r="U210" s="22"/>
    </row>
    <row r="211" spans="3:21" s="39" customFormat="1" ht="102" customHeight="1">
      <c r="C211" s="35" t="s">
        <v>685</v>
      </c>
      <c r="D211" s="35" t="s">
        <v>686</v>
      </c>
      <c r="E211" s="35" t="s">
        <v>686</v>
      </c>
      <c r="F211" s="36"/>
      <c r="G211" s="45" t="s">
        <v>687</v>
      </c>
      <c r="H211" s="130"/>
      <c r="I211" s="130"/>
      <c r="J211" s="129"/>
      <c r="K211" s="130">
        <v>100</v>
      </c>
      <c r="L211" s="130"/>
      <c r="M211" s="128">
        <v>0</v>
      </c>
      <c r="N211" s="128">
        <f>SUM(N212:N216)</f>
        <v>0</v>
      </c>
      <c r="O211" s="130">
        <f aca="true" t="shared" si="59" ref="O211:O227">M211/K211*100</f>
        <v>0</v>
      </c>
      <c r="P211" s="130">
        <f aca="true" t="shared" si="60" ref="P211:P216">H211+K211</f>
        <v>100</v>
      </c>
      <c r="Q211" s="130">
        <f aca="true" t="shared" si="61" ref="Q211:Q216">I211+M211</f>
        <v>0</v>
      </c>
      <c r="R211" s="128">
        <f t="shared" si="55"/>
        <v>-100</v>
      </c>
      <c r="S211" s="128">
        <f t="shared" si="56"/>
        <v>0</v>
      </c>
      <c r="T211" s="38">
        <v>100</v>
      </c>
      <c r="U211" s="54"/>
    </row>
    <row r="212" spans="3:21" s="7" customFormat="1" ht="68.25" customHeight="1">
      <c r="C212" s="35" t="s">
        <v>105</v>
      </c>
      <c r="D212" s="35" t="s">
        <v>581</v>
      </c>
      <c r="E212" s="35" t="s">
        <v>579</v>
      </c>
      <c r="F212" s="36" t="s">
        <v>262</v>
      </c>
      <c r="G212" s="45" t="s">
        <v>633</v>
      </c>
      <c r="H212" s="128">
        <f>SUM(H213:H217)</f>
        <v>15</v>
      </c>
      <c r="I212" s="128">
        <f>SUM(I213:I217)</f>
        <v>0</v>
      </c>
      <c r="J212" s="129">
        <f t="shared" si="46"/>
        <v>0</v>
      </c>
      <c r="K212" s="128">
        <f>SUM(K213:K217)</f>
        <v>1068</v>
      </c>
      <c r="L212" s="128">
        <f>SUM(L213:L217)</f>
        <v>0</v>
      </c>
      <c r="M212" s="128">
        <f>M213+M214+M216</f>
        <v>0</v>
      </c>
      <c r="N212" s="128">
        <f>N213+N214+N216</f>
        <v>0</v>
      </c>
      <c r="O212" s="130">
        <f t="shared" si="59"/>
        <v>0</v>
      </c>
      <c r="P212" s="130">
        <f t="shared" si="60"/>
        <v>1083</v>
      </c>
      <c r="Q212" s="130">
        <f t="shared" si="61"/>
        <v>0</v>
      </c>
      <c r="R212" s="128">
        <f t="shared" si="55"/>
        <v>-1083</v>
      </c>
      <c r="S212" s="128">
        <f t="shared" si="56"/>
        <v>0</v>
      </c>
      <c r="T212" s="38">
        <f>SUM(T213:T217)</f>
        <v>1068</v>
      </c>
      <c r="U212" s="22"/>
    </row>
    <row r="213" spans="3:20" s="19" customFormat="1" ht="60" customHeight="1">
      <c r="C213" s="35"/>
      <c r="D213" s="35"/>
      <c r="E213" s="35"/>
      <c r="F213" s="36"/>
      <c r="G213" s="45" t="s">
        <v>580</v>
      </c>
      <c r="H213" s="130"/>
      <c r="I213" s="130"/>
      <c r="J213" s="129"/>
      <c r="K213" s="130">
        <v>435</v>
      </c>
      <c r="L213" s="130"/>
      <c r="M213" s="137"/>
      <c r="N213" s="137"/>
      <c r="O213" s="130">
        <f t="shared" si="59"/>
        <v>0</v>
      </c>
      <c r="P213" s="130">
        <f t="shared" si="60"/>
        <v>435</v>
      </c>
      <c r="Q213" s="130">
        <f t="shared" si="61"/>
        <v>0</v>
      </c>
      <c r="R213" s="128">
        <f t="shared" si="55"/>
        <v>-435</v>
      </c>
      <c r="S213" s="128">
        <f t="shared" si="56"/>
        <v>0</v>
      </c>
      <c r="T213" s="38">
        <v>435</v>
      </c>
    </row>
    <row r="214" spans="3:20" s="19" customFormat="1" ht="57.75" customHeight="1">
      <c r="C214" s="35"/>
      <c r="D214" s="35"/>
      <c r="E214" s="35"/>
      <c r="F214" s="36"/>
      <c r="G214" s="45" t="s">
        <v>365</v>
      </c>
      <c r="H214" s="130"/>
      <c r="I214" s="130"/>
      <c r="J214" s="129"/>
      <c r="K214" s="130">
        <v>633</v>
      </c>
      <c r="L214" s="130"/>
      <c r="M214" s="137"/>
      <c r="N214" s="137"/>
      <c r="O214" s="130">
        <f t="shared" si="59"/>
        <v>0</v>
      </c>
      <c r="P214" s="130">
        <f t="shared" si="60"/>
        <v>633</v>
      </c>
      <c r="Q214" s="130">
        <f t="shared" si="61"/>
        <v>0</v>
      </c>
      <c r="R214" s="128">
        <f t="shared" si="55"/>
        <v>-633</v>
      </c>
      <c r="S214" s="128">
        <f t="shared" si="56"/>
        <v>0</v>
      </c>
      <c r="T214" s="38">
        <f>633</f>
        <v>633</v>
      </c>
    </row>
    <row r="215" spans="3:20" s="19" customFormat="1" ht="2.25" customHeight="1" hidden="1">
      <c r="C215" s="35"/>
      <c r="D215" s="35"/>
      <c r="E215" s="35"/>
      <c r="F215" s="36"/>
      <c r="G215" s="45" t="s">
        <v>319</v>
      </c>
      <c r="H215" s="130"/>
      <c r="I215" s="130"/>
      <c r="J215" s="129" t="e">
        <f t="shared" si="46"/>
        <v>#DIV/0!</v>
      </c>
      <c r="K215" s="130"/>
      <c r="L215" s="130"/>
      <c r="M215" s="137"/>
      <c r="N215" s="137"/>
      <c r="O215" s="130" t="e">
        <f t="shared" si="59"/>
        <v>#DIV/0!</v>
      </c>
      <c r="P215" s="130">
        <f t="shared" si="60"/>
        <v>0</v>
      </c>
      <c r="Q215" s="130">
        <f t="shared" si="61"/>
        <v>0</v>
      </c>
      <c r="R215" s="128">
        <f t="shared" si="55"/>
        <v>0</v>
      </c>
      <c r="S215" s="128" t="e">
        <f t="shared" si="56"/>
        <v>#DIV/0!</v>
      </c>
      <c r="T215" s="38"/>
    </row>
    <row r="216" spans="3:20" s="19" customFormat="1" ht="49.5" customHeight="1">
      <c r="C216" s="35"/>
      <c r="D216" s="35"/>
      <c r="E216" s="35"/>
      <c r="F216" s="36"/>
      <c r="G216" s="45" t="s">
        <v>693</v>
      </c>
      <c r="H216" s="130">
        <v>15</v>
      </c>
      <c r="I216" s="130">
        <v>0</v>
      </c>
      <c r="J216" s="129">
        <f t="shared" si="46"/>
        <v>0</v>
      </c>
      <c r="K216" s="130"/>
      <c r="L216" s="130"/>
      <c r="M216" s="137"/>
      <c r="N216" s="137"/>
      <c r="O216" s="130"/>
      <c r="P216" s="130">
        <f t="shared" si="60"/>
        <v>15</v>
      </c>
      <c r="Q216" s="130">
        <f t="shared" si="61"/>
        <v>0</v>
      </c>
      <c r="R216" s="128">
        <f t="shared" si="55"/>
        <v>-15</v>
      </c>
      <c r="S216" s="128">
        <f t="shared" si="56"/>
        <v>0</v>
      </c>
      <c r="T216" s="38"/>
    </row>
    <row r="217" spans="3:20" s="39" customFormat="1" ht="2.25" customHeight="1" hidden="1">
      <c r="C217" s="35"/>
      <c r="D217" s="35"/>
      <c r="E217" s="35"/>
      <c r="F217" s="36"/>
      <c r="G217" s="45" t="s">
        <v>396</v>
      </c>
      <c r="H217" s="130"/>
      <c r="I217" s="130"/>
      <c r="J217" s="129" t="e">
        <f t="shared" si="46"/>
        <v>#DIV/0!</v>
      </c>
      <c r="K217" s="130"/>
      <c r="L217" s="130"/>
      <c r="M217" s="137"/>
      <c r="N217" s="137"/>
      <c r="O217" s="130" t="e">
        <f t="shared" si="59"/>
        <v>#DIV/0!</v>
      </c>
      <c r="P217" s="130"/>
      <c r="Q217" s="130"/>
      <c r="R217" s="130"/>
      <c r="S217" s="130"/>
      <c r="T217" s="38"/>
    </row>
    <row r="218" spans="1:21" s="7" customFormat="1" ht="53.25" customHeight="1">
      <c r="A218" s="7">
        <v>4</v>
      </c>
      <c r="B218" s="7">
        <v>40</v>
      </c>
      <c r="C218" s="32" t="s">
        <v>106</v>
      </c>
      <c r="D218" s="32" t="s">
        <v>582</v>
      </c>
      <c r="E218" s="32" t="s">
        <v>579</v>
      </c>
      <c r="F218" s="5" t="s">
        <v>221</v>
      </c>
      <c r="G218" s="43" t="s">
        <v>192</v>
      </c>
      <c r="H218" s="128">
        <f>SUM(H219:H226)</f>
        <v>16672.550000000003</v>
      </c>
      <c r="I218" s="128">
        <f>SUM(I219:I226)</f>
        <v>3470.25637</v>
      </c>
      <c r="J218" s="129">
        <f t="shared" si="46"/>
        <v>20.81419081064384</v>
      </c>
      <c r="K218" s="128">
        <f>SUM(K219:K226)</f>
        <v>2104.9</v>
      </c>
      <c r="L218" s="128"/>
      <c r="M218" s="128">
        <f aca="true" t="shared" si="62" ref="M218:T218">SUM(M219:M226)</f>
        <v>0</v>
      </c>
      <c r="N218" s="128">
        <f t="shared" si="62"/>
        <v>0</v>
      </c>
      <c r="O218" s="130">
        <f t="shared" si="59"/>
        <v>0</v>
      </c>
      <c r="P218" s="128">
        <f t="shared" si="62"/>
        <v>18777.450000000004</v>
      </c>
      <c r="Q218" s="128">
        <f t="shared" si="62"/>
        <v>3470.25637</v>
      </c>
      <c r="R218" s="128">
        <f t="shared" si="62"/>
        <v>-15307.193630000002</v>
      </c>
      <c r="S218" s="128">
        <f>Q218/P218*100</f>
        <v>18.48097782180221</v>
      </c>
      <c r="T218" s="14">
        <f t="shared" si="62"/>
        <v>2104.9</v>
      </c>
      <c r="U218" s="22"/>
    </row>
    <row r="219" spans="3:21" s="19" customFormat="1" ht="63" customHeight="1">
      <c r="C219" s="35"/>
      <c r="D219" s="35"/>
      <c r="E219" s="35"/>
      <c r="F219" s="36"/>
      <c r="G219" s="45" t="s">
        <v>365</v>
      </c>
      <c r="H219" s="130">
        <f>6000+2000+1600+1000+100+200+5591.9-34.6-200-354.75</f>
        <v>15902.550000000003</v>
      </c>
      <c r="I219" s="130">
        <v>3157.79668</v>
      </c>
      <c r="J219" s="129">
        <f t="shared" si="46"/>
        <v>19.85717183722107</v>
      </c>
      <c r="K219" s="130">
        <v>1997</v>
      </c>
      <c r="L219" s="130"/>
      <c r="M219" s="137"/>
      <c r="N219" s="137">
        <v>0</v>
      </c>
      <c r="O219" s="130">
        <f t="shared" si="59"/>
        <v>0</v>
      </c>
      <c r="P219" s="130">
        <f>H219+K219</f>
        <v>17899.550000000003</v>
      </c>
      <c r="Q219" s="130">
        <f>I219+M219</f>
        <v>3157.79668</v>
      </c>
      <c r="R219" s="130">
        <f>Q219-P219</f>
        <v>-14741.753320000003</v>
      </c>
      <c r="S219" s="130">
        <f>Q219/P219*100</f>
        <v>17.6417657427142</v>
      </c>
      <c r="T219" s="38">
        <f>380+1000+100+517</f>
        <v>1997</v>
      </c>
      <c r="U219" s="54"/>
    </row>
    <row r="220" spans="3:21" s="19" customFormat="1" ht="63.75" customHeight="1">
      <c r="C220" s="35"/>
      <c r="D220" s="35"/>
      <c r="E220" s="35"/>
      <c r="F220" s="36"/>
      <c r="G220" s="37" t="s">
        <v>692</v>
      </c>
      <c r="H220" s="130"/>
      <c r="I220" s="130"/>
      <c r="J220" s="129"/>
      <c r="K220" s="130">
        <v>37.9</v>
      </c>
      <c r="L220" s="130"/>
      <c r="M220" s="137"/>
      <c r="N220" s="137">
        <v>0</v>
      </c>
      <c r="O220" s="130">
        <f t="shared" si="59"/>
        <v>0</v>
      </c>
      <c r="P220" s="130">
        <f aca="true" t="shared" si="63" ref="P220:P226">H220+K220</f>
        <v>37.9</v>
      </c>
      <c r="Q220" s="130">
        <f aca="true" t="shared" si="64" ref="Q220:Q226">I220+M220</f>
        <v>0</v>
      </c>
      <c r="R220" s="130">
        <f aca="true" t="shared" si="65" ref="R220:R226">Q220-P220</f>
        <v>-37.9</v>
      </c>
      <c r="S220" s="130">
        <f aca="true" t="shared" si="66" ref="S220:S226">Q220/P220*100</f>
        <v>0</v>
      </c>
      <c r="T220" s="38">
        <f>37.9</f>
        <v>37.9</v>
      </c>
      <c r="U220" s="54"/>
    </row>
    <row r="221" spans="3:20" s="7" customFormat="1" ht="58.5" customHeight="1">
      <c r="C221" s="32"/>
      <c r="D221" s="32"/>
      <c r="E221" s="32"/>
      <c r="F221" s="5"/>
      <c r="G221" s="45" t="s">
        <v>580</v>
      </c>
      <c r="H221" s="130">
        <f>52+188</f>
        <v>240</v>
      </c>
      <c r="I221" s="130">
        <v>211.629</v>
      </c>
      <c r="J221" s="129">
        <f t="shared" si="46"/>
        <v>88.17875</v>
      </c>
      <c r="K221" s="130"/>
      <c r="L221" s="130"/>
      <c r="M221" s="137"/>
      <c r="N221" s="137">
        <v>0</v>
      </c>
      <c r="O221" s="130"/>
      <c r="P221" s="130">
        <f t="shared" si="63"/>
        <v>240</v>
      </c>
      <c r="Q221" s="130">
        <f t="shared" si="64"/>
        <v>211.629</v>
      </c>
      <c r="R221" s="130">
        <f t="shared" si="65"/>
        <v>-28.37100000000001</v>
      </c>
      <c r="S221" s="130">
        <f t="shared" si="66"/>
        <v>88.17875</v>
      </c>
      <c r="T221" s="38"/>
    </row>
    <row r="222" spans="3:21" s="19" customFormat="1" ht="2.25" customHeight="1" hidden="1">
      <c r="C222" s="35"/>
      <c r="D222" s="35"/>
      <c r="E222" s="35"/>
      <c r="F222" s="36"/>
      <c r="G222" s="37" t="s">
        <v>95</v>
      </c>
      <c r="H222" s="130"/>
      <c r="I222" s="130"/>
      <c r="J222" s="129" t="e">
        <f t="shared" si="46"/>
        <v>#DIV/0!</v>
      </c>
      <c r="K222" s="130"/>
      <c r="L222" s="130"/>
      <c r="M222" s="137"/>
      <c r="N222" s="137"/>
      <c r="O222" s="130" t="e">
        <f t="shared" si="59"/>
        <v>#DIV/0!</v>
      </c>
      <c r="P222" s="130">
        <f t="shared" si="63"/>
        <v>0</v>
      </c>
      <c r="Q222" s="130">
        <f t="shared" si="64"/>
        <v>0</v>
      </c>
      <c r="R222" s="130">
        <f t="shared" si="65"/>
        <v>0</v>
      </c>
      <c r="S222" s="130" t="e">
        <f t="shared" si="66"/>
        <v>#DIV/0!</v>
      </c>
      <c r="T222" s="38"/>
      <c r="U222" s="54"/>
    </row>
    <row r="223" spans="3:21" s="19" customFormat="1" ht="2.25" customHeight="1" hidden="1">
      <c r="C223" s="35"/>
      <c r="D223" s="35"/>
      <c r="E223" s="35"/>
      <c r="F223" s="36"/>
      <c r="G223" s="37" t="s">
        <v>68</v>
      </c>
      <c r="H223" s="130"/>
      <c r="I223" s="130"/>
      <c r="J223" s="129" t="e">
        <f t="shared" si="46"/>
        <v>#DIV/0!</v>
      </c>
      <c r="K223" s="130"/>
      <c r="L223" s="130"/>
      <c r="M223" s="137"/>
      <c r="N223" s="137"/>
      <c r="O223" s="130" t="e">
        <f t="shared" si="59"/>
        <v>#DIV/0!</v>
      </c>
      <c r="P223" s="130">
        <f t="shared" si="63"/>
        <v>0</v>
      </c>
      <c r="Q223" s="130">
        <f t="shared" si="64"/>
        <v>0</v>
      </c>
      <c r="R223" s="130">
        <f t="shared" si="65"/>
        <v>0</v>
      </c>
      <c r="S223" s="130" t="e">
        <f t="shared" si="66"/>
        <v>#DIV/0!</v>
      </c>
      <c r="T223" s="38"/>
      <c r="U223" s="54"/>
    </row>
    <row r="224" spans="3:21" s="39" customFormat="1" ht="2.25" customHeight="1" hidden="1">
      <c r="C224" s="35"/>
      <c r="D224" s="35"/>
      <c r="E224" s="35"/>
      <c r="F224" s="36"/>
      <c r="G224" s="37" t="s">
        <v>121</v>
      </c>
      <c r="H224" s="130"/>
      <c r="I224" s="130"/>
      <c r="J224" s="129" t="e">
        <f t="shared" si="46"/>
        <v>#DIV/0!</v>
      </c>
      <c r="K224" s="130"/>
      <c r="L224" s="130"/>
      <c r="M224" s="137"/>
      <c r="N224" s="137"/>
      <c r="O224" s="130" t="e">
        <f t="shared" si="59"/>
        <v>#DIV/0!</v>
      </c>
      <c r="P224" s="130">
        <f t="shared" si="63"/>
        <v>0</v>
      </c>
      <c r="Q224" s="130">
        <f t="shared" si="64"/>
        <v>0</v>
      </c>
      <c r="R224" s="130">
        <f t="shared" si="65"/>
        <v>0</v>
      </c>
      <c r="S224" s="130" t="e">
        <f t="shared" si="66"/>
        <v>#DIV/0!</v>
      </c>
      <c r="T224" s="38"/>
      <c r="U224" s="54"/>
    </row>
    <row r="225" spans="3:21" s="39" customFormat="1" ht="66" customHeight="1">
      <c r="C225" s="35"/>
      <c r="D225" s="35"/>
      <c r="E225" s="35"/>
      <c r="F225" s="36"/>
      <c r="G225" s="37" t="s">
        <v>690</v>
      </c>
      <c r="H225" s="130">
        <v>130</v>
      </c>
      <c r="I225" s="130">
        <v>0</v>
      </c>
      <c r="J225" s="129">
        <f aca="true" t="shared" si="67" ref="J225:J286">I225/H225*100</f>
        <v>0</v>
      </c>
      <c r="K225" s="130">
        <v>70</v>
      </c>
      <c r="L225" s="130"/>
      <c r="M225" s="137"/>
      <c r="N225" s="137">
        <v>0</v>
      </c>
      <c r="O225" s="130">
        <f t="shared" si="59"/>
        <v>0</v>
      </c>
      <c r="P225" s="130">
        <f t="shared" si="63"/>
        <v>200</v>
      </c>
      <c r="Q225" s="130">
        <f t="shared" si="64"/>
        <v>0</v>
      </c>
      <c r="R225" s="130">
        <f t="shared" si="65"/>
        <v>-200</v>
      </c>
      <c r="S225" s="130">
        <f t="shared" si="66"/>
        <v>0</v>
      </c>
      <c r="T225" s="38">
        <v>70</v>
      </c>
      <c r="U225" s="54"/>
    </row>
    <row r="226" spans="3:21" s="39" customFormat="1" ht="66" customHeight="1">
      <c r="C226" s="35"/>
      <c r="D226" s="35"/>
      <c r="E226" s="35"/>
      <c r="F226" s="36"/>
      <c r="G226" s="37" t="s">
        <v>691</v>
      </c>
      <c r="H226" s="130">
        <v>400</v>
      </c>
      <c r="I226" s="130">
        <v>100.83069</v>
      </c>
      <c r="J226" s="129">
        <f t="shared" si="67"/>
        <v>25.2076725</v>
      </c>
      <c r="K226" s="130"/>
      <c r="L226" s="130"/>
      <c r="M226" s="137"/>
      <c r="N226" s="137">
        <v>0</v>
      </c>
      <c r="O226" s="130"/>
      <c r="P226" s="130">
        <f t="shared" si="63"/>
        <v>400</v>
      </c>
      <c r="Q226" s="130">
        <f t="shared" si="64"/>
        <v>100.83069</v>
      </c>
      <c r="R226" s="130">
        <f t="shared" si="65"/>
        <v>-299.16931</v>
      </c>
      <c r="S226" s="130">
        <f t="shared" si="66"/>
        <v>25.2076725</v>
      </c>
      <c r="T226" s="38"/>
      <c r="U226" s="54"/>
    </row>
    <row r="227" spans="2:21" s="7" customFormat="1" ht="2.25" customHeight="1" hidden="1">
      <c r="B227" s="7">
        <v>71</v>
      </c>
      <c r="C227" s="32" t="s">
        <v>41</v>
      </c>
      <c r="D227" s="32" t="s">
        <v>583</v>
      </c>
      <c r="E227" s="32" t="s">
        <v>579</v>
      </c>
      <c r="F227" s="5" t="s">
        <v>2</v>
      </c>
      <c r="G227" s="43" t="s">
        <v>354</v>
      </c>
      <c r="H227" s="128"/>
      <c r="I227" s="128"/>
      <c r="J227" s="129" t="e">
        <f t="shared" si="67"/>
        <v>#DIV/0!</v>
      </c>
      <c r="K227" s="128"/>
      <c r="L227" s="128"/>
      <c r="M227" s="131"/>
      <c r="N227" s="131"/>
      <c r="O227" s="130" t="e">
        <f t="shared" si="59"/>
        <v>#DIV/0!</v>
      </c>
      <c r="P227" s="128"/>
      <c r="Q227" s="128"/>
      <c r="R227" s="128"/>
      <c r="S227" s="128"/>
      <c r="T227" s="14"/>
      <c r="U227" s="22"/>
    </row>
    <row r="228" spans="1:21" s="7" customFormat="1" ht="61.5" customHeight="1">
      <c r="A228" s="50">
        <v>8</v>
      </c>
      <c r="B228" s="7">
        <v>41</v>
      </c>
      <c r="C228" s="32" t="s">
        <v>107</v>
      </c>
      <c r="D228" s="32" t="s">
        <v>444</v>
      </c>
      <c r="E228" s="32" t="s">
        <v>445</v>
      </c>
      <c r="F228" s="5" t="s">
        <v>224</v>
      </c>
      <c r="G228" s="43" t="s">
        <v>194</v>
      </c>
      <c r="H228" s="128"/>
      <c r="I228" s="128"/>
      <c r="J228" s="129"/>
      <c r="K228" s="128">
        <f>K229+K230+K231+K232</f>
        <v>16931.572</v>
      </c>
      <c r="L228" s="128">
        <f>L229+L230+L231+L232</f>
        <v>0</v>
      </c>
      <c r="M228" s="128">
        <f>M229+M230+M231+M232</f>
        <v>0</v>
      </c>
      <c r="N228" s="128">
        <f>N229+N230+N231+N232</f>
        <v>0</v>
      </c>
      <c r="O228" s="128">
        <f>M228/K228*100</f>
        <v>0</v>
      </c>
      <c r="P228" s="128">
        <f>H228+K228</f>
        <v>16931.572</v>
      </c>
      <c r="Q228" s="128">
        <f>I228+N228</f>
        <v>0</v>
      </c>
      <c r="R228" s="128">
        <f aca="true" t="shared" si="68" ref="R228:R236">Q228-P228</f>
        <v>-16931.572</v>
      </c>
      <c r="S228" s="128">
        <f>Q228/P228*100</f>
        <v>0</v>
      </c>
      <c r="T228" s="14">
        <f>SUM(T229:T232)</f>
        <v>16931.572</v>
      </c>
      <c r="U228" s="22"/>
    </row>
    <row r="229" spans="3:21" s="39" customFormat="1" ht="72.75" customHeight="1">
      <c r="C229" s="35"/>
      <c r="D229" s="35"/>
      <c r="E229" s="35"/>
      <c r="F229" s="36"/>
      <c r="G229" s="37" t="s">
        <v>322</v>
      </c>
      <c r="H229" s="130"/>
      <c r="I229" s="130"/>
      <c r="J229" s="129"/>
      <c r="K229" s="130">
        <v>15331.572</v>
      </c>
      <c r="L229" s="130"/>
      <c r="M229" s="130">
        <v>0</v>
      </c>
      <c r="N229" s="130">
        <v>0</v>
      </c>
      <c r="O229" s="128">
        <f>M229/K229*100</f>
        <v>0</v>
      </c>
      <c r="P229" s="128">
        <f>H229+K229</f>
        <v>15331.572</v>
      </c>
      <c r="Q229" s="128">
        <f>I229+N229</f>
        <v>0</v>
      </c>
      <c r="R229" s="128">
        <f t="shared" si="68"/>
        <v>-15331.572</v>
      </c>
      <c r="S229" s="128">
        <f>Q229/P229*100</f>
        <v>0</v>
      </c>
      <c r="T229" s="38">
        <f>1500+100+414.1+3000+3580+95+130.9+5234.572+2500+200-150-1273</f>
        <v>15331.572</v>
      </c>
      <c r="U229" s="54"/>
    </row>
    <row r="230" spans="1:21" s="101" customFormat="1" ht="48" customHeight="1">
      <c r="A230" s="39"/>
      <c r="B230" s="39"/>
      <c r="C230" s="35"/>
      <c r="D230" s="35"/>
      <c r="E230" s="35"/>
      <c r="F230" s="36"/>
      <c r="G230" s="55" t="s">
        <v>395</v>
      </c>
      <c r="H230" s="130"/>
      <c r="I230" s="130"/>
      <c r="J230" s="129"/>
      <c r="K230" s="130">
        <v>1600</v>
      </c>
      <c r="L230" s="130"/>
      <c r="M230" s="137">
        <v>0</v>
      </c>
      <c r="N230" s="137">
        <v>0</v>
      </c>
      <c r="O230" s="128">
        <f>M230/K230*100</f>
        <v>0</v>
      </c>
      <c r="P230" s="128">
        <f>H230+K230</f>
        <v>1600</v>
      </c>
      <c r="Q230" s="128">
        <f>I230+N230</f>
        <v>0</v>
      </c>
      <c r="R230" s="128">
        <f t="shared" si="68"/>
        <v>-1600</v>
      </c>
      <c r="S230" s="128">
        <f>Q230/P230*100</f>
        <v>0</v>
      </c>
      <c r="T230" s="38">
        <v>1600</v>
      </c>
      <c r="U230" s="100"/>
    </row>
    <row r="231" spans="3:21" s="39" customFormat="1" ht="2.25" customHeight="1" hidden="1">
      <c r="C231" s="35"/>
      <c r="D231" s="35"/>
      <c r="E231" s="35"/>
      <c r="F231" s="36"/>
      <c r="G231" s="37" t="s">
        <v>156</v>
      </c>
      <c r="H231" s="142">
        <f>I231+L231</f>
        <v>0</v>
      </c>
      <c r="I231" s="143"/>
      <c r="J231" s="197"/>
      <c r="K231" s="143"/>
      <c r="L231" s="143"/>
      <c r="M231" s="143"/>
      <c r="N231" s="143"/>
      <c r="O231" s="142">
        <v>0</v>
      </c>
      <c r="P231" s="142">
        <f>H231+K231</f>
        <v>0</v>
      </c>
      <c r="Q231" s="142">
        <f>I231+N231</f>
        <v>0</v>
      </c>
      <c r="R231" s="142">
        <f t="shared" si="68"/>
        <v>0</v>
      </c>
      <c r="S231" s="142">
        <v>0</v>
      </c>
      <c r="T231" s="38"/>
      <c r="U231" s="54"/>
    </row>
    <row r="232" spans="3:21" s="39" customFormat="1" ht="2.25" customHeight="1" hidden="1">
      <c r="C232" s="35"/>
      <c r="D232" s="35"/>
      <c r="E232" s="35"/>
      <c r="F232" s="36"/>
      <c r="G232" s="37" t="s">
        <v>393</v>
      </c>
      <c r="H232" s="142">
        <f>I232+L232</f>
        <v>0</v>
      </c>
      <c r="I232" s="143"/>
      <c r="J232" s="197"/>
      <c r="K232" s="143"/>
      <c r="L232" s="143"/>
      <c r="M232" s="143"/>
      <c r="N232" s="143"/>
      <c r="O232" s="142">
        <v>0</v>
      </c>
      <c r="P232" s="142">
        <f>H232+K232</f>
        <v>0</v>
      </c>
      <c r="Q232" s="142">
        <f>I232+N232</f>
        <v>0</v>
      </c>
      <c r="R232" s="142">
        <f t="shared" si="68"/>
        <v>0</v>
      </c>
      <c r="S232" s="142">
        <v>0</v>
      </c>
      <c r="T232" s="38"/>
      <c r="U232" s="54"/>
    </row>
    <row r="233" spans="2:21" s="7" customFormat="1" ht="69" customHeight="1">
      <c r="B233" s="7">
        <v>73</v>
      </c>
      <c r="C233" s="32" t="s">
        <v>108</v>
      </c>
      <c r="D233" s="32" t="s">
        <v>700</v>
      </c>
      <c r="E233" s="32" t="s">
        <v>464</v>
      </c>
      <c r="F233" s="5" t="s">
        <v>11</v>
      </c>
      <c r="G233" s="40" t="s">
        <v>12</v>
      </c>
      <c r="H233" s="128"/>
      <c r="I233" s="128">
        <f>I234</f>
        <v>0</v>
      </c>
      <c r="J233" s="129"/>
      <c r="K233" s="128">
        <f>K234</f>
        <v>395</v>
      </c>
      <c r="L233" s="128">
        <f>L234</f>
        <v>0</v>
      </c>
      <c r="M233" s="128">
        <f>M234</f>
        <v>0</v>
      </c>
      <c r="N233" s="128">
        <f>N234</f>
        <v>0</v>
      </c>
      <c r="O233" s="128">
        <f>O234</f>
        <v>0</v>
      </c>
      <c r="P233" s="128">
        <f>K233+H233</f>
        <v>395</v>
      </c>
      <c r="Q233" s="128">
        <f>I233+M233</f>
        <v>0</v>
      </c>
      <c r="R233" s="128">
        <f t="shared" si="68"/>
        <v>-395</v>
      </c>
      <c r="S233" s="128">
        <f>Q233/P233*100</f>
        <v>0</v>
      </c>
      <c r="T233" s="14">
        <f>T234</f>
        <v>395</v>
      </c>
      <c r="U233" s="22"/>
    </row>
    <row r="234" spans="3:21" s="7" customFormat="1" ht="69" customHeight="1">
      <c r="C234" s="32"/>
      <c r="D234" s="32"/>
      <c r="E234" s="32"/>
      <c r="F234" s="5"/>
      <c r="G234" s="121" t="s">
        <v>701</v>
      </c>
      <c r="H234" s="128"/>
      <c r="I234" s="128"/>
      <c r="J234" s="129"/>
      <c r="K234" s="128">
        <v>395</v>
      </c>
      <c r="L234" s="128"/>
      <c r="M234" s="130">
        <v>0</v>
      </c>
      <c r="N234" s="130">
        <v>0</v>
      </c>
      <c r="O234" s="128"/>
      <c r="P234" s="128">
        <f>K234+H234</f>
        <v>395</v>
      </c>
      <c r="Q234" s="128">
        <f>I234+M234</f>
        <v>0</v>
      </c>
      <c r="R234" s="128">
        <f t="shared" si="68"/>
        <v>-395</v>
      </c>
      <c r="S234" s="128">
        <f>Q234/P234*100</f>
        <v>0</v>
      </c>
      <c r="T234" s="14">
        <v>395</v>
      </c>
      <c r="U234" s="22"/>
    </row>
    <row r="235" spans="1:21" s="7" customFormat="1" ht="60" customHeight="1">
      <c r="A235" s="50">
        <v>7</v>
      </c>
      <c r="B235" s="7">
        <v>42</v>
      </c>
      <c r="C235" s="32" t="s">
        <v>109</v>
      </c>
      <c r="D235" s="32" t="s">
        <v>584</v>
      </c>
      <c r="E235" s="32" t="s">
        <v>585</v>
      </c>
      <c r="F235" s="5" t="s">
        <v>222</v>
      </c>
      <c r="G235" s="43" t="s">
        <v>320</v>
      </c>
      <c r="H235" s="128">
        <f>H237+H238+H236</f>
        <v>300</v>
      </c>
      <c r="I235" s="128">
        <f>I237+I238+I236</f>
        <v>0</v>
      </c>
      <c r="J235" s="129">
        <f t="shared" si="67"/>
        <v>0</v>
      </c>
      <c r="K235" s="128">
        <f>K236</f>
        <v>1500</v>
      </c>
      <c r="L235" s="128">
        <f>L236</f>
        <v>0</v>
      </c>
      <c r="M235" s="128">
        <f>M236</f>
        <v>0</v>
      </c>
      <c r="N235" s="128">
        <f>N236</f>
        <v>0</v>
      </c>
      <c r="O235" s="128">
        <f>O236+O237+O238</f>
        <v>0</v>
      </c>
      <c r="P235" s="128">
        <f>H235+K235</f>
        <v>1800</v>
      </c>
      <c r="Q235" s="128">
        <f>I235+M235</f>
        <v>0</v>
      </c>
      <c r="R235" s="128">
        <f t="shared" si="68"/>
        <v>-1800</v>
      </c>
      <c r="S235" s="128">
        <f>Q235/P235*100</f>
        <v>0</v>
      </c>
      <c r="T235" s="14">
        <f>T236+T237+T238</f>
        <v>1500</v>
      </c>
      <c r="U235" s="22"/>
    </row>
    <row r="236" spans="1:21" s="39" customFormat="1" ht="62.25" customHeight="1">
      <c r="A236" s="89"/>
      <c r="C236" s="35"/>
      <c r="D236" s="35"/>
      <c r="E236" s="35"/>
      <c r="F236" s="36"/>
      <c r="G236" s="37" t="s">
        <v>321</v>
      </c>
      <c r="H236" s="130">
        <v>300</v>
      </c>
      <c r="I236" s="130">
        <v>0</v>
      </c>
      <c r="J236" s="129">
        <f t="shared" si="67"/>
        <v>0</v>
      </c>
      <c r="K236" s="130">
        <v>1500</v>
      </c>
      <c r="L236" s="130"/>
      <c r="M236" s="130">
        <v>0</v>
      </c>
      <c r="N236" s="130">
        <v>0</v>
      </c>
      <c r="O236" s="130"/>
      <c r="P236" s="128">
        <f>H236+K236</f>
        <v>1800</v>
      </c>
      <c r="Q236" s="128">
        <f>I236+M236</f>
        <v>0</v>
      </c>
      <c r="R236" s="128">
        <f t="shared" si="68"/>
        <v>-1800</v>
      </c>
      <c r="S236" s="128">
        <f>Q236/P236*100</f>
        <v>0</v>
      </c>
      <c r="T236" s="38">
        <v>1500</v>
      </c>
      <c r="U236" s="54"/>
    </row>
    <row r="237" spans="1:21" s="39" customFormat="1" ht="2.25" customHeight="1" hidden="1">
      <c r="A237" s="89"/>
      <c r="C237" s="35"/>
      <c r="D237" s="35"/>
      <c r="E237" s="35"/>
      <c r="F237" s="36"/>
      <c r="G237" s="37" t="s">
        <v>322</v>
      </c>
      <c r="H237" s="130"/>
      <c r="I237" s="130"/>
      <c r="J237" s="129" t="e">
        <f t="shared" si="67"/>
        <v>#DIV/0!</v>
      </c>
      <c r="K237" s="130"/>
      <c r="L237" s="130"/>
      <c r="M237" s="130"/>
      <c r="N237" s="130"/>
      <c r="O237" s="130"/>
      <c r="P237" s="130"/>
      <c r="Q237" s="130"/>
      <c r="R237" s="130"/>
      <c r="S237" s="130"/>
      <c r="T237" s="38"/>
      <c r="U237" s="54"/>
    </row>
    <row r="238" spans="1:21" s="7" customFormat="1" ht="2.25" customHeight="1" hidden="1">
      <c r="A238" s="50"/>
      <c r="C238" s="32"/>
      <c r="D238" s="32"/>
      <c r="E238" s="32"/>
      <c r="F238" s="5"/>
      <c r="G238" s="37" t="s">
        <v>347</v>
      </c>
      <c r="H238" s="128"/>
      <c r="I238" s="128"/>
      <c r="J238" s="129" t="e">
        <f t="shared" si="67"/>
        <v>#DIV/0!</v>
      </c>
      <c r="K238" s="128"/>
      <c r="L238" s="128"/>
      <c r="M238" s="128"/>
      <c r="N238" s="128"/>
      <c r="O238" s="128"/>
      <c r="P238" s="128"/>
      <c r="Q238" s="128"/>
      <c r="R238" s="128"/>
      <c r="S238" s="128"/>
      <c r="T238" s="14"/>
      <c r="U238" s="22"/>
    </row>
    <row r="239" spans="1:21" s="7" customFormat="1" ht="69.75" customHeight="1">
      <c r="A239" s="50">
        <v>6</v>
      </c>
      <c r="B239" s="7">
        <v>43</v>
      </c>
      <c r="C239" s="32" t="s">
        <v>110</v>
      </c>
      <c r="D239" s="32" t="s">
        <v>446</v>
      </c>
      <c r="E239" s="32" t="s">
        <v>445</v>
      </c>
      <c r="F239" s="5" t="s">
        <v>249</v>
      </c>
      <c r="G239" s="42" t="s">
        <v>195</v>
      </c>
      <c r="H239" s="144">
        <f>SUM(H240:H254)</f>
        <v>3653.942</v>
      </c>
      <c r="I239" s="144">
        <f>SUM(I240:I254)</f>
        <v>2742.3588699999996</v>
      </c>
      <c r="J239" s="129">
        <f t="shared" si="67"/>
        <v>75.05206349745013</v>
      </c>
      <c r="K239" s="144">
        <f>SUM(K240:K254)</f>
        <v>1059.87</v>
      </c>
      <c r="L239" s="144">
        <f>SUM(L240:L254)</f>
        <v>0</v>
      </c>
      <c r="M239" s="144">
        <f>M249+M251+M252+M253+M254</f>
        <v>127.16124</v>
      </c>
      <c r="N239" s="144">
        <f>N249+N251+N252+N253+N254</f>
        <v>127.16124</v>
      </c>
      <c r="O239" s="144">
        <f>M239/K239*100</f>
        <v>11.99781482634663</v>
      </c>
      <c r="P239" s="144">
        <f>H239+K239</f>
        <v>4713.812</v>
      </c>
      <c r="Q239" s="144">
        <f>I239+M239</f>
        <v>2869.5201099999995</v>
      </c>
      <c r="R239" s="144">
        <f>Q239-P239</f>
        <v>-1844.2918900000004</v>
      </c>
      <c r="S239" s="144">
        <f>Q239/P239*100</f>
        <v>60.8747253814959</v>
      </c>
      <c r="T239" s="198">
        <f>SUM(T240:T254)</f>
        <v>1059.87</v>
      </c>
      <c r="U239" s="22"/>
    </row>
    <row r="240" spans="3:20" s="7" customFormat="1" ht="29.25" customHeight="1" hidden="1">
      <c r="C240" s="35" t="s">
        <v>110</v>
      </c>
      <c r="D240" s="35"/>
      <c r="E240" s="35"/>
      <c r="F240" s="36" t="s">
        <v>249</v>
      </c>
      <c r="G240" s="52" t="s">
        <v>187</v>
      </c>
      <c r="H240" s="128"/>
      <c r="I240" s="128"/>
      <c r="J240" s="129"/>
      <c r="K240" s="128"/>
      <c r="L240" s="128"/>
      <c r="M240" s="128"/>
      <c r="N240" s="128"/>
      <c r="O240" s="144"/>
      <c r="P240" s="144"/>
      <c r="Q240" s="144"/>
      <c r="R240" s="144"/>
      <c r="S240" s="144"/>
      <c r="T240" s="14"/>
    </row>
    <row r="241" spans="3:20" s="7" customFormat="1" ht="36.75" customHeight="1" hidden="1">
      <c r="C241" s="35" t="s">
        <v>110</v>
      </c>
      <c r="D241" s="35"/>
      <c r="E241" s="35"/>
      <c r="F241" s="36" t="s">
        <v>249</v>
      </c>
      <c r="G241" s="52" t="s">
        <v>187</v>
      </c>
      <c r="H241" s="128"/>
      <c r="I241" s="128"/>
      <c r="J241" s="129"/>
      <c r="K241" s="128"/>
      <c r="L241" s="128"/>
      <c r="M241" s="128"/>
      <c r="N241" s="128"/>
      <c r="O241" s="144"/>
      <c r="P241" s="144"/>
      <c r="Q241" s="144"/>
      <c r="R241" s="144"/>
      <c r="S241" s="144"/>
      <c r="T241" s="14"/>
    </row>
    <row r="242" spans="3:20" s="7" customFormat="1" ht="171" customHeight="1" hidden="1">
      <c r="C242" s="35" t="s">
        <v>110</v>
      </c>
      <c r="D242" s="35"/>
      <c r="E242" s="35"/>
      <c r="F242" s="36" t="s">
        <v>249</v>
      </c>
      <c r="G242" s="52" t="s">
        <v>187</v>
      </c>
      <c r="H242" s="128"/>
      <c r="I242" s="128"/>
      <c r="J242" s="129"/>
      <c r="K242" s="128"/>
      <c r="L242" s="128"/>
      <c r="M242" s="128"/>
      <c r="N242" s="128"/>
      <c r="O242" s="144"/>
      <c r="P242" s="144"/>
      <c r="Q242" s="144"/>
      <c r="R242" s="144"/>
      <c r="S242" s="144"/>
      <c r="T242" s="14"/>
    </row>
    <row r="243" spans="3:20" s="7" customFormat="1" ht="116.25" customHeight="1" hidden="1">
      <c r="C243" s="35" t="s">
        <v>110</v>
      </c>
      <c r="D243" s="35"/>
      <c r="E243" s="35"/>
      <c r="F243" s="36" t="s">
        <v>249</v>
      </c>
      <c r="G243" s="52" t="s">
        <v>187</v>
      </c>
      <c r="H243" s="128"/>
      <c r="I243" s="128"/>
      <c r="J243" s="129"/>
      <c r="K243" s="128"/>
      <c r="L243" s="128"/>
      <c r="M243" s="128"/>
      <c r="N243" s="128"/>
      <c r="O243" s="144"/>
      <c r="P243" s="144"/>
      <c r="Q243" s="144"/>
      <c r="R243" s="144"/>
      <c r="S243" s="144"/>
      <c r="T243" s="13"/>
    </row>
    <row r="244" spans="3:20" s="7" customFormat="1" ht="96.75" customHeight="1" hidden="1">
      <c r="C244" s="35" t="s">
        <v>110</v>
      </c>
      <c r="D244" s="35"/>
      <c r="E244" s="35"/>
      <c r="F244" s="36" t="s">
        <v>249</v>
      </c>
      <c r="G244" s="52" t="s">
        <v>187</v>
      </c>
      <c r="H244" s="128"/>
      <c r="I244" s="128"/>
      <c r="J244" s="129"/>
      <c r="K244" s="128"/>
      <c r="L244" s="128"/>
      <c r="M244" s="128"/>
      <c r="N244" s="128"/>
      <c r="O244" s="144"/>
      <c r="P244" s="144"/>
      <c r="Q244" s="144"/>
      <c r="R244" s="144"/>
      <c r="S244" s="144"/>
      <c r="T244" s="14"/>
    </row>
    <row r="245" spans="3:20" s="7" customFormat="1" ht="96.75" customHeight="1" hidden="1">
      <c r="C245" s="35" t="s">
        <v>110</v>
      </c>
      <c r="D245" s="35"/>
      <c r="E245" s="35"/>
      <c r="F245" s="36" t="s">
        <v>249</v>
      </c>
      <c r="G245" s="52" t="s">
        <v>187</v>
      </c>
      <c r="H245" s="128"/>
      <c r="I245" s="128"/>
      <c r="J245" s="129"/>
      <c r="K245" s="128"/>
      <c r="L245" s="128"/>
      <c r="M245" s="128"/>
      <c r="N245" s="128"/>
      <c r="O245" s="144"/>
      <c r="P245" s="144"/>
      <c r="Q245" s="144"/>
      <c r="R245" s="144"/>
      <c r="S245" s="144"/>
      <c r="T245" s="14"/>
    </row>
    <row r="246" spans="3:20" s="7" customFormat="1" ht="111" customHeight="1" hidden="1">
      <c r="C246" s="35" t="s">
        <v>110</v>
      </c>
      <c r="D246" s="35"/>
      <c r="E246" s="35"/>
      <c r="F246" s="36" t="s">
        <v>249</v>
      </c>
      <c r="G246" s="52" t="s">
        <v>187</v>
      </c>
      <c r="H246" s="128"/>
      <c r="I246" s="128"/>
      <c r="J246" s="129"/>
      <c r="K246" s="128"/>
      <c r="L246" s="128"/>
      <c r="M246" s="128"/>
      <c r="N246" s="128"/>
      <c r="O246" s="144"/>
      <c r="P246" s="144"/>
      <c r="Q246" s="144"/>
      <c r="R246" s="144"/>
      <c r="S246" s="144"/>
      <c r="T246" s="14"/>
    </row>
    <row r="247" spans="3:20" s="7" customFormat="1" ht="165" customHeight="1" hidden="1">
      <c r="C247" s="35" t="s">
        <v>110</v>
      </c>
      <c r="D247" s="35"/>
      <c r="E247" s="35"/>
      <c r="F247" s="36" t="s">
        <v>249</v>
      </c>
      <c r="G247" s="52" t="s">
        <v>187</v>
      </c>
      <c r="H247" s="128"/>
      <c r="I247" s="128"/>
      <c r="J247" s="129"/>
      <c r="K247" s="128"/>
      <c r="L247" s="128"/>
      <c r="M247" s="128"/>
      <c r="N247" s="128"/>
      <c r="O247" s="144"/>
      <c r="P247" s="144"/>
      <c r="Q247" s="144"/>
      <c r="R247" s="144"/>
      <c r="S247" s="144"/>
      <c r="T247" s="14"/>
    </row>
    <row r="248" spans="3:20" s="18" customFormat="1" ht="150.75" customHeight="1" hidden="1">
      <c r="C248" s="35" t="s">
        <v>110</v>
      </c>
      <c r="D248" s="35"/>
      <c r="E248" s="35"/>
      <c r="F248" s="36" t="s">
        <v>249</v>
      </c>
      <c r="G248" s="52" t="s">
        <v>187</v>
      </c>
      <c r="H248" s="128"/>
      <c r="I248" s="128"/>
      <c r="J248" s="129"/>
      <c r="K248" s="128"/>
      <c r="L248" s="128"/>
      <c r="M248" s="131"/>
      <c r="N248" s="131"/>
      <c r="O248" s="144"/>
      <c r="P248" s="144"/>
      <c r="Q248" s="144"/>
      <c r="R248" s="144"/>
      <c r="S248" s="144"/>
      <c r="T248" s="13"/>
    </row>
    <row r="249" spans="3:20" s="39" customFormat="1" ht="62.25" customHeight="1">
      <c r="C249" s="35"/>
      <c r="D249" s="35"/>
      <c r="E249" s="35"/>
      <c r="F249" s="36"/>
      <c r="G249" s="52" t="s">
        <v>694</v>
      </c>
      <c r="H249" s="130">
        <v>151.7</v>
      </c>
      <c r="I249" s="130">
        <v>29.18</v>
      </c>
      <c r="J249" s="129">
        <f t="shared" si="67"/>
        <v>19.23533289386948</v>
      </c>
      <c r="K249" s="130">
        <v>192</v>
      </c>
      <c r="L249" s="130"/>
      <c r="M249" s="130">
        <v>42</v>
      </c>
      <c r="N249" s="130">
        <v>42</v>
      </c>
      <c r="O249" s="144">
        <f aca="true" t="shared" si="69" ref="O249:O254">M249/K249*100</f>
        <v>21.875</v>
      </c>
      <c r="P249" s="144">
        <f aca="true" t="shared" si="70" ref="P249:P254">H249+K249</f>
        <v>343.7</v>
      </c>
      <c r="Q249" s="144">
        <f aca="true" t="shared" si="71" ref="Q249:Q254">I249+M249</f>
        <v>71.18</v>
      </c>
      <c r="R249" s="144">
        <f aca="true" t="shared" si="72" ref="R249:R261">Q249-P249</f>
        <v>-272.52</v>
      </c>
      <c r="S249" s="144">
        <f aca="true" t="shared" si="73" ref="S249:S254">Q249/P249*100</f>
        <v>20.709921443119004</v>
      </c>
      <c r="T249" s="38">
        <f>42+150</f>
        <v>192</v>
      </c>
    </row>
    <row r="250" spans="3:20" s="39" customFormat="1" ht="81" customHeight="1" hidden="1">
      <c r="C250" s="35"/>
      <c r="D250" s="35"/>
      <c r="E250" s="35"/>
      <c r="F250" s="36"/>
      <c r="G250" s="52" t="s">
        <v>351</v>
      </c>
      <c r="H250" s="130"/>
      <c r="I250" s="130"/>
      <c r="J250" s="129" t="e">
        <f t="shared" si="67"/>
        <v>#DIV/0!</v>
      </c>
      <c r="K250" s="130"/>
      <c r="L250" s="130"/>
      <c r="M250" s="130"/>
      <c r="N250" s="130"/>
      <c r="O250" s="144" t="e">
        <f t="shared" si="69"/>
        <v>#DIV/0!</v>
      </c>
      <c r="P250" s="144">
        <f t="shared" si="70"/>
        <v>0</v>
      </c>
      <c r="Q250" s="144">
        <f t="shared" si="71"/>
        <v>0</v>
      </c>
      <c r="R250" s="144">
        <f t="shared" si="72"/>
        <v>0</v>
      </c>
      <c r="S250" s="144" t="e">
        <f t="shared" si="73"/>
        <v>#DIV/0!</v>
      </c>
      <c r="T250" s="38"/>
    </row>
    <row r="251" spans="3:20" s="39" customFormat="1" ht="78" customHeight="1">
      <c r="C251" s="35"/>
      <c r="D251" s="35"/>
      <c r="E251" s="35"/>
      <c r="F251" s="36"/>
      <c r="G251" s="52" t="s">
        <v>695</v>
      </c>
      <c r="H251" s="130"/>
      <c r="I251" s="130"/>
      <c r="J251" s="129"/>
      <c r="K251" s="130">
        <v>825</v>
      </c>
      <c r="L251" s="130"/>
      <c r="M251" s="130">
        <v>85.16124</v>
      </c>
      <c r="N251" s="130">
        <v>85.16124</v>
      </c>
      <c r="O251" s="144">
        <f t="shared" si="69"/>
        <v>10.322574545454547</v>
      </c>
      <c r="P251" s="144">
        <f t="shared" si="70"/>
        <v>825</v>
      </c>
      <c r="Q251" s="144">
        <f t="shared" si="71"/>
        <v>85.16124</v>
      </c>
      <c r="R251" s="144">
        <f t="shared" si="72"/>
        <v>-739.83876</v>
      </c>
      <c r="S251" s="144">
        <f t="shared" si="73"/>
        <v>10.322574545454547</v>
      </c>
      <c r="T251" s="38">
        <v>825</v>
      </c>
    </row>
    <row r="252" spans="3:20" s="39" customFormat="1" ht="62.25" customHeight="1">
      <c r="C252" s="35"/>
      <c r="D252" s="35"/>
      <c r="E252" s="35"/>
      <c r="F252" s="36"/>
      <c r="G252" s="52" t="s">
        <v>367</v>
      </c>
      <c r="H252" s="130">
        <f>625.2+2671.162-7</f>
        <v>3289.362</v>
      </c>
      <c r="I252" s="130">
        <f>268.67514+2420</f>
        <v>2688.67514</v>
      </c>
      <c r="J252" s="129">
        <f t="shared" si="67"/>
        <v>81.73849944153304</v>
      </c>
      <c r="K252" s="143"/>
      <c r="L252" s="143"/>
      <c r="M252" s="143"/>
      <c r="N252" s="143"/>
      <c r="O252" s="199" t="e">
        <f t="shared" si="69"/>
        <v>#DIV/0!</v>
      </c>
      <c r="P252" s="144">
        <f t="shared" si="70"/>
        <v>3289.362</v>
      </c>
      <c r="Q252" s="144">
        <f t="shared" si="71"/>
        <v>2688.67514</v>
      </c>
      <c r="R252" s="144">
        <f t="shared" si="72"/>
        <v>-600.6868600000003</v>
      </c>
      <c r="S252" s="144">
        <f t="shared" si="73"/>
        <v>81.73849944153304</v>
      </c>
      <c r="T252" s="38"/>
    </row>
    <row r="253" spans="3:20" s="39" customFormat="1" ht="60" customHeight="1">
      <c r="C253" s="35"/>
      <c r="D253" s="35"/>
      <c r="E253" s="35"/>
      <c r="F253" s="36"/>
      <c r="G253" s="52" t="s">
        <v>368</v>
      </c>
      <c r="H253" s="130">
        <v>9</v>
      </c>
      <c r="I253" s="130">
        <v>0.57748</v>
      </c>
      <c r="J253" s="129">
        <f t="shared" si="67"/>
        <v>6.416444444444444</v>
      </c>
      <c r="K253" s="143"/>
      <c r="L253" s="143"/>
      <c r="M253" s="143"/>
      <c r="N253" s="143"/>
      <c r="O253" s="199" t="e">
        <f t="shared" si="69"/>
        <v>#DIV/0!</v>
      </c>
      <c r="P253" s="144">
        <f t="shared" si="70"/>
        <v>9</v>
      </c>
      <c r="Q253" s="144">
        <f t="shared" si="71"/>
        <v>0.57748</v>
      </c>
      <c r="R253" s="144">
        <f t="shared" si="72"/>
        <v>-8.42252</v>
      </c>
      <c r="S253" s="144">
        <f t="shared" si="73"/>
        <v>6.416444444444444</v>
      </c>
      <c r="T253" s="38"/>
    </row>
    <row r="254" spans="3:20" s="7" customFormat="1" ht="64.5" customHeight="1">
      <c r="C254" s="32"/>
      <c r="D254" s="32"/>
      <c r="E254" s="32"/>
      <c r="F254" s="36"/>
      <c r="G254" s="52" t="s">
        <v>691</v>
      </c>
      <c r="H254" s="128">
        <f>50+150+3.88</f>
        <v>203.88</v>
      </c>
      <c r="I254" s="128">
        <v>23.92625</v>
      </c>
      <c r="J254" s="129">
        <f t="shared" si="67"/>
        <v>11.735457131646067</v>
      </c>
      <c r="K254" s="128">
        <v>42.87</v>
      </c>
      <c r="L254" s="128"/>
      <c r="M254" s="128">
        <v>0</v>
      </c>
      <c r="N254" s="128">
        <v>0</v>
      </c>
      <c r="O254" s="144">
        <f t="shared" si="69"/>
        <v>0</v>
      </c>
      <c r="P254" s="144">
        <f t="shared" si="70"/>
        <v>246.75</v>
      </c>
      <c r="Q254" s="144">
        <f t="shared" si="71"/>
        <v>23.92625</v>
      </c>
      <c r="R254" s="144">
        <f t="shared" si="72"/>
        <v>-222.82375</v>
      </c>
      <c r="S254" s="144">
        <f t="shared" si="73"/>
        <v>9.696555217831813</v>
      </c>
      <c r="T254" s="38">
        <v>42.87</v>
      </c>
    </row>
    <row r="255" spans="3:20" s="7" customFormat="1" ht="143.25" customHeight="1" hidden="1">
      <c r="C255" s="32" t="s">
        <v>374</v>
      </c>
      <c r="D255" s="32"/>
      <c r="E255" s="32"/>
      <c r="F255" s="5" t="s">
        <v>353</v>
      </c>
      <c r="G255" s="42" t="s">
        <v>370</v>
      </c>
      <c r="H255" s="128"/>
      <c r="I255" s="128"/>
      <c r="J255" s="129" t="e">
        <f t="shared" si="67"/>
        <v>#DIV/0!</v>
      </c>
      <c r="K255" s="128"/>
      <c r="L255" s="128"/>
      <c r="M255" s="128"/>
      <c r="N255" s="128"/>
      <c r="O255" s="144" t="e">
        <f aca="true" t="shared" si="74" ref="O255:O260">M255/K255*100</f>
        <v>#DIV/0!</v>
      </c>
      <c r="P255" s="128"/>
      <c r="Q255" s="128"/>
      <c r="R255" s="144">
        <f t="shared" si="72"/>
        <v>0</v>
      </c>
      <c r="S255" s="144" t="e">
        <f aca="true" t="shared" si="75" ref="S255:S261">Q255/P255*100</f>
        <v>#DIV/0!</v>
      </c>
      <c r="T255" s="14"/>
    </row>
    <row r="256" spans="1:21" s="7" customFormat="1" ht="67.5" customHeight="1" hidden="1">
      <c r="A256" s="50"/>
      <c r="C256" s="32"/>
      <c r="D256" s="32"/>
      <c r="E256" s="32"/>
      <c r="F256" s="5"/>
      <c r="G256" s="45" t="s">
        <v>331</v>
      </c>
      <c r="H256" s="128"/>
      <c r="I256" s="128"/>
      <c r="J256" s="129" t="e">
        <f t="shared" si="67"/>
        <v>#DIV/0!</v>
      </c>
      <c r="K256" s="128"/>
      <c r="L256" s="128"/>
      <c r="M256" s="128"/>
      <c r="N256" s="128"/>
      <c r="O256" s="144" t="e">
        <f t="shared" si="74"/>
        <v>#DIV/0!</v>
      </c>
      <c r="P256" s="128"/>
      <c r="Q256" s="128"/>
      <c r="R256" s="144">
        <f t="shared" si="72"/>
        <v>0</v>
      </c>
      <c r="S256" s="144" t="e">
        <f t="shared" si="75"/>
        <v>#DIV/0!</v>
      </c>
      <c r="T256" s="14"/>
      <c r="U256" s="22"/>
    </row>
    <row r="257" spans="3:21" s="7" customFormat="1" ht="60" customHeight="1">
      <c r="C257" s="32" t="s">
        <v>715</v>
      </c>
      <c r="D257" s="32" t="s">
        <v>616</v>
      </c>
      <c r="E257" s="32" t="s">
        <v>615</v>
      </c>
      <c r="F257" s="36"/>
      <c r="G257" s="33" t="s">
        <v>717</v>
      </c>
      <c r="H257" s="129">
        <f>H258</f>
        <v>150</v>
      </c>
      <c r="I257" s="128">
        <f>SUM(I258)</f>
        <v>0</v>
      </c>
      <c r="J257" s="129">
        <f t="shared" si="67"/>
        <v>0</v>
      </c>
      <c r="K257" s="142"/>
      <c r="L257" s="142"/>
      <c r="M257" s="142"/>
      <c r="N257" s="142"/>
      <c r="O257" s="199" t="e">
        <f t="shared" si="74"/>
        <v>#DIV/0!</v>
      </c>
      <c r="P257" s="128">
        <f>H257+K257</f>
        <v>150</v>
      </c>
      <c r="Q257" s="128">
        <f>I257+K257</f>
        <v>0</v>
      </c>
      <c r="R257" s="144">
        <f t="shared" si="72"/>
        <v>-150</v>
      </c>
      <c r="S257" s="144">
        <f t="shared" si="75"/>
        <v>0</v>
      </c>
      <c r="T257" s="14"/>
      <c r="U257" s="22"/>
    </row>
    <row r="258" spans="3:21" s="7" customFormat="1" ht="80.25" customHeight="1">
      <c r="C258" s="32"/>
      <c r="D258" s="32"/>
      <c r="E258" s="32"/>
      <c r="F258" s="36"/>
      <c r="G258" s="33" t="s">
        <v>716</v>
      </c>
      <c r="H258" s="133">
        <v>150</v>
      </c>
      <c r="I258" s="128">
        <v>0</v>
      </c>
      <c r="J258" s="129">
        <f t="shared" si="67"/>
        <v>0</v>
      </c>
      <c r="K258" s="142"/>
      <c r="L258" s="142"/>
      <c r="M258" s="142"/>
      <c r="N258" s="142"/>
      <c r="O258" s="199" t="e">
        <f t="shared" si="74"/>
        <v>#DIV/0!</v>
      </c>
      <c r="P258" s="128">
        <f>H258+K258</f>
        <v>150</v>
      </c>
      <c r="Q258" s="128">
        <f>I258+K258</f>
        <v>0</v>
      </c>
      <c r="R258" s="144">
        <f t="shared" si="72"/>
        <v>-150</v>
      </c>
      <c r="S258" s="144">
        <f t="shared" si="75"/>
        <v>0</v>
      </c>
      <c r="T258" s="14"/>
      <c r="U258" s="22"/>
    </row>
    <row r="259" spans="3:21" s="7" customFormat="1" ht="48" customHeight="1">
      <c r="C259" s="32" t="s">
        <v>310</v>
      </c>
      <c r="D259" s="32" t="s">
        <v>476</v>
      </c>
      <c r="E259" s="32" t="s">
        <v>477</v>
      </c>
      <c r="F259" s="5" t="s">
        <v>3</v>
      </c>
      <c r="G259" s="33" t="s">
        <v>290</v>
      </c>
      <c r="H259" s="129">
        <f>I259+L259</f>
        <v>0</v>
      </c>
      <c r="I259" s="128"/>
      <c r="J259" s="129"/>
      <c r="K259" s="128">
        <f>K260</f>
        <v>127.292</v>
      </c>
      <c r="L259" s="128"/>
      <c r="M259" s="128">
        <f>M260</f>
        <v>58.31856</v>
      </c>
      <c r="N259" s="128">
        <f>N260</f>
        <v>0</v>
      </c>
      <c r="O259" s="144">
        <f t="shared" si="74"/>
        <v>45.814788046381544</v>
      </c>
      <c r="P259" s="128">
        <f>H259+K259</f>
        <v>127.292</v>
      </c>
      <c r="Q259" s="128">
        <f>I259+M259</f>
        <v>58.31856</v>
      </c>
      <c r="R259" s="144">
        <f t="shared" si="72"/>
        <v>-68.97344000000001</v>
      </c>
      <c r="S259" s="144">
        <f t="shared" si="75"/>
        <v>45.814788046381544</v>
      </c>
      <c r="T259" s="14"/>
      <c r="U259" s="22"/>
    </row>
    <row r="260" spans="3:21" s="7" customFormat="1" ht="63" customHeight="1">
      <c r="C260" s="35" t="s">
        <v>311</v>
      </c>
      <c r="D260" s="35" t="s">
        <v>688</v>
      </c>
      <c r="E260" s="35" t="s">
        <v>477</v>
      </c>
      <c r="F260" s="36"/>
      <c r="G260" s="45" t="s">
        <v>689</v>
      </c>
      <c r="H260" s="133">
        <f>I260+L260</f>
        <v>0</v>
      </c>
      <c r="I260" s="128"/>
      <c r="J260" s="129"/>
      <c r="K260" s="128">
        <v>127.292</v>
      </c>
      <c r="L260" s="128"/>
      <c r="M260" s="128">
        <v>58.31856</v>
      </c>
      <c r="N260" s="128">
        <v>0</v>
      </c>
      <c r="O260" s="144">
        <f t="shared" si="74"/>
        <v>45.814788046381544</v>
      </c>
      <c r="P260" s="128">
        <f>H260+K260</f>
        <v>127.292</v>
      </c>
      <c r="Q260" s="128">
        <f>I260+M260</f>
        <v>58.31856</v>
      </c>
      <c r="R260" s="144">
        <f t="shared" si="72"/>
        <v>-68.97344000000001</v>
      </c>
      <c r="S260" s="144">
        <f t="shared" si="75"/>
        <v>45.814788046381544</v>
      </c>
      <c r="T260" s="14"/>
      <c r="U260" s="22"/>
    </row>
    <row r="261" spans="3:22" s="50" customFormat="1" ht="45.75" customHeight="1">
      <c r="C261" s="30"/>
      <c r="D261" s="30"/>
      <c r="E261" s="30"/>
      <c r="F261" s="187"/>
      <c r="G261" s="31" t="s">
        <v>142</v>
      </c>
      <c r="H261" s="132">
        <f>H192+H198+H202+H210+H233+H228+H235+H239++H259+H227+H218+H197+H255+H193+H195+H257</f>
        <v>27955.600000000002</v>
      </c>
      <c r="I261" s="132">
        <f>I192+I198+I202+I210+I233+I228+I235+I239++I259+I227+I218+I197+I255+I193+I195+I257</f>
        <v>8247.474699999999</v>
      </c>
      <c r="J261" s="129">
        <f t="shared" si="67"/>
        <v>29.50204860564609</v>
      </c>
      <c r="K261" s="132">
        <f>K192+K198+K202+K210+K233+K228+K235+K239++K259+K227+K218+K197+K255+K193+K195+K257</f>
        <v>39913.03400000001</v>
      </c>
      <c r="L261" s="132">
        <f>L192+L198+L202+L210+L233+L228+L235+L239++L259+L227+L218+L197+L255+L193+L195+L257</f>
        <v>0</v>
      </c>
      <c r="M261" s="132">
        <f>M192+M198+M202+M210+M233+M228+M235+M239++M259+M227+M218+M197+M255+M193+M195+M257</f>
        <v>193.75373</v>
      </c>
      <c r="N261" s="132">
        <f>N192+N198+N202+N210+N233+N228+N235+N239++N259+N227+N218+N197+N255+N193+N195+N257</f>
        <v>135.43517</v>
      </c>
      <c r="O261" s="144">
        <f>M261/K261*100</f>
        <v>0.485439743819024</v>
      </c>
      <c r="P261" s="132">
        <f>H261+K261</f>
        <v>67868.634</v>
      </c>
      <c r="Q261" s="132">
        <f>I261+M261</f>
        <v>8441.22843</v>
      </c>
      <c r="R261" s="132">
        <f t="shared" si="72"/>
        <v>-59427.40557</v>
      </c>
      <c r="S261" s="132">
        <f t="shared" si="75"/>
        <v>12.437598832473922</v>
      </c>
      <c r="T261" s="63" t="e">
        <f>T192+T198+T202+#REF!+T210+T233+T228+T235+T239++T259+T227+T218+T197+T255+T193+T195+T257</f>
        <v>#REF!</v>
      </c>
      <c r="U261" s="22"/>
      <c r="V261" s="53"/>
    </row>
    <row r="262" spans="3:22" s="50" customFormat="1" ht="74.25" customHeight="1">
      <c r="C262" s="50">
        <v>6000000</v>
      </c>
      <c r="D262" s="30"/>
      <c r="E262" s="30"/>
      <c r="F262" s="187"/>
      <c r="G262" s="48" t="s">
        <v>425</v>
      </c>
      <c r="H262" s="132"/>
      <c r="I262" s="132"/>
      <c r="J262" s="129"/>
      <c r="K262" s="132"/>
      <c r="L262" s="132"/>
      <c r="M262" s="132"/>
      <c r="N262" s="132"/>
      <c r="O262" s="132"/>
      <c r="P262" s="132"/>
      <c r="Q262" s="132"/>
      <c r="R262" s="132"/>
      <c r="S262" s="132"/>
      <c r="T262" s="63"/>
      <c r="U262" s="53"/>
      <c r="V262" s="53"/>
    </row>
    <row r="263" spans="3:22" s="50" customFormat="1" ht="77.25" customHeight="1">
      <c r="C263" s="50">
        <v>6010000</v>
      </c>
      <c r="D263" s="30"/>
      <c r="E263" s="30"/>
      <c r="F263" s="187"/>
      <c r="G263" s="48" t="s">
        <v>424</v>
      </c>
      <c r="H263" s="132"/>
      <c r="I263" s="132"/>
      <c r="J263" s="129"/>
      <c r="K263" s="132"/>
      <c r="L263" s="132"/>
      <c r="M263" s="132"/>
      <c r="N263" s="132"/>
      <c r="O263" s="132"/>
      <c r="P263" s="132"/>
      <c r="Q263" s="132"/>
      <c r="R263" s="132"/>
      <c r="S263" s="132"/>
      <c r="T263" s="63"/>
      <c r="U263" s="53"/>
      <c r="V263" s="53"/>
    </row>
    <row r="264" spans="1:20" s="7" customFormat="1" ht="141" customHeight="1">
      <c r="A264" s="7">
        <v>8</v>
      </c>
      <c r="B264" s="7">
        <v>57</v>
      </c>
      <c r="C264" s="32" t="s">
        <v>369</v>
      </c>
      <c r="D264" s="32" t="s">
        <v>439</v>
      </c>
      <c r="E264" s="32" t="s">
        <v>440</v>
      </c>
      <c r="F264" s="5" t="s">
        <v>205</v>
      </c>
      <c r="G264" s="33" t="s">
        <v>627</v>
      </c>
      <c r="H264" s="129">
        <v>828.8</v>
      </c>
      <c r="I264" s="129">
        <v>159.63599</v>
      </c>
      <c r="J264" s="129">
        <f t="shared" si="67"/>
        <v>19.261099179536682</v>
      </c>
      <c r="K264" s="129"/>
      <c r="L264" s="129"/>
      <c r="M264" s="131"/>
      <c r="N264" s="131"/>
      <c r="O264" s="129"/>
      <c r="P264" s="129">
        <f aca="true" t="shared" si="76" ref="P264:P269">H264+K264</f>
        <v>828.8</v>
      </c>
      <c r="Q264" s="129">
        <f aca="true" t="shared" si="77" ref="Q264:Q269">I264+M264</f>
        <v>159.63599</v>
      </c>
      <c r="R264" s="129">
        <f aca="true" t="shared" si="78" ref="R264:R269">Q264-P264</f>
        <v>-669.16401</v>
      </c>
      <c r="S264" s="129">
        <f aca="true" t="shared" si="79" ref="S264:S269">Q264/P264*100</f>
        <v>19.261099179536682</v>
      </c>
      <c r="T264" s="34"/>
    </row>
    <row r="265" spans="3:20" s="7" customFormat="1" ht="77.25" customHeight="1">
      <c r="C265" s="32" t="s">
        <v>696</v>
      </c>
      <c r="D265" s="32" t="s">
        <v>582</v>
      </c>
      <c r="E265" s="32" t="s">
        <v>579</v>
      </c>
      <c r="F265" s="5"/>
      <c r="G265" s="33" t="s">
        <v>678</v>
      </c>
      <c r="H265" s="129">
        <v>135.724</v>
      </c>
      <c r="I265" s="145">
        <v>0</v>
      </c>
      <c r="J265" s="129">
        <f t="shared" si="67"/>
        <v>0</v>
      </c>
      <c r="K265" s="129"/>
      <c r="L265" s="129"/>
      <c r="M265" s="131"/>
      <c r="N265" s="131"/>
      <c r="O265" s="129"/>
      <c r="P265" s="129">
        <f t="shared" si="76"/>
        <v>135.724</v>
      </c>
      <c r="Q265" s="129">
        <f t="shared" si="77"/>
        <v>0</v>
      </c>
      <c r="R265" s="129">
        <f t="shared" si="78"/>
        <v>-135.724</v>
      </c>
      <c r="S265" s="129">
        <f t="shared" si="79"/>
        <v>0</v>
      </c>
      <c r="T265" s="34"/>
    </row>
    <row r="266" spans="3:20" s="7" customFormat="1" ht="42" customHeight="1">
      <c r="C266" s="32" t="s">
        <v>638</v>
      </c>
      <c r="D266" s="32" t="s">
        <v>637</v>
      </c>
      <c r="E266" s="32" t="s">
        <v>677</v>
      </c>
      <c r="F266" s="5" t="s">
        <v>639</v>
      </c>
      <c r="G266" s="33" t="s">
        <v>654</v>
      </c>
      <c r="H266" s="129">
        <v>131.5</v>
      </c>
      <c r="I266" s="145">
        <v>0</v>
      </c>
      <c r="J266" s="129">
        <f t="shared" si="67"/>
        <v>0</v>
      </c>
      <c r="K266" s="129"/>
      <c r="L266" s="129"/>
      <c r="M266" s="131"/>
      <c r="N266" s="131"/>
      <c r="O266" s="129"/>
      <c r="P266" s="129">
        <f t="shared" si="76"/>
        <v>131.5</v>
      </c>
      <c r="Q266" s="129">
        <f t="shared" si="77"/>
        <v>0</v>
      </c>
      <c r="R266" s="129">
        <f t="shared" si="78"/>
        <v>-131.5</v>
      </c>
      <c r="S266" s="129">
        <f t="shared" si="79"/>
        <v>0</v>
      </c>
      <c r="T266" s="34"/>
    </row>
    <row r="267" spans="3:20" s="7" customFormat="1" ht="62.25" customHeight="1">
      <c r="C267" s="32" t="s">
        <v>609</v>
      </c>
      <c r="D267" s="32" t="s">
        <v>446</v>
      </c>
      <c r="E267" s="32" t="s">
        <v>445</v>
      </c>
      <c r="F267" s="5" t="s">
        <v>249</v>
      </c>
      <c r="G267" s="33" t="s">
        <v>655</v>
      </c>
      <c r="H267" s="129"/>
      <c r="I267" s="129"/>
      <c r="J267" s="129"/>
      <c r="K267" s="129">
        <v>500</v>
      </c>
      <c r="L267" s="129"/>
      <c r="M267" s="131">
        <v>0</v>
      </c>
      <c r="N267" s="131">
        <v>0</v>
      </c>
      <c r="O267" s="129"/>
      <c r="P267" s="129">
        <f t="shared" si="76"/>
        <v>500</v>
      </c>
      <c r="Q267" s="129">
        <f t="shared" si="77"/>
        <v>0</v>
      </c>
      <c r="R267" s="129">
        <f t="shared" si="78"/>
        <v>-500</v>
      </c>
      <c r="S267" s="129">
        <f t="shared" si="79"/>
        <v>0</v>
      </c>
      <c r="T267" s="34">
        <v>500</v>
      </c>
    </row>
    <row r="268" spans="1:21" s="7" customFormat="1" ht="51.75" customHeight="1">
      <c r="A268" s="50">
        <v>5</v>
      </c>
      <c r="B268" s="7">
        <v>44</v>
      </c>
      <c r="C268" s="32" t="s">
        <v>610</v>
      </c>
      <c r="D268" s="32" t="s">
        <v>607</v>
      </c>
      <c r="E268" s="32" t="s">
        <v>608</v>
      </c>
      <c r="F268" s="5" t="s">
        <v>257</v>
      </c>
      <c r="G268" s="33" t="s">
        <v>332</v>
      </c>
      <c r="H268" s="142"/>
      <c r="I268" s="142"/>
      <c r="J268" s="129"/>
      <c r="K268" s="128">
        <f>K269</f>
        <v>180.176</v>
      </c>
      <c r="L268" s="128">
        <f>L269</f>
        <v>0</v>
      </c>
      <c r="M268" s="128">
        <f>M269</f>
        <v>33.8841</v>
      </c>
      <c r="N268" s="128"/>
      <c r="O268" s="128">
        <f>M268/K268*100</f>
        <v>18.8061118017938</v>
      </c>
      <c r="P268" s="129">
        <f t="shared" si="76"/>
        <v>180.176</v>
      </c>
      <c r="Q268" s="129">
        <f t="shared" si="77"/>
        <v>33.8841</v>
      </c>
      <c r="R268" s="129">
        <f t="shared" si="78"/>
        <v>-146.2919</v>
      </c>
      <c r="S268" s="129">
        <f t="shared" si="79"/>
        <v>18.8061118017938</v>
      </c>
      <c r="T268" s="14">
        <f>T269</f>
        <v>0</v>
      </c>
      <c r="U268" s="22"/>
    </row>
    <row r="269" spans="1:21" s="7" customFormat="1" ht="58.5" customHeight="1">
      <c r="A269" s="50"/>
      <c r="C269" s="32"/>
      <c r="D269" s="32"/>
      <c r="E269" s="32"/>
      <c r="F269" s="5"/>
      <c r="G269" s="45" t="s">
        <v>348</v>
      </c>
      <c r="H269" s="142"/>
      <c r="I269" s="142"/>
      <c r="J269" s="129"/>
      <c r="K269" s="128">
        <v>180.176</v>
      </c>
      <c r="L269" s="128"/>
      <c r="M269" s="128">
        <v>33.8841</v>
      </c>
      <c r="N269" s="128"/>
      <c r="O269" s="128">
        <f>M269/K269*100</f>
        <v>18.8061118017938</v>
      </c>
      <c r="P269" s="129">
        <f t="shared" si="76"/>
        <v>180.176</v>
      </c>
      <c r="Q269" s="129">
        <f t="shared" si="77"/>
        <v>33.8841</v>
      </c>
      <c r="R269" s="129">
        <f t="shared" si="78"/>
        <v>-146.2919</v>
      </c>
      <c r="S269" s="129">
        <f t="shared" si="79"/>
        <v>18.8061118017938</v>
      </c>
      <c r="T269" s="14"/>
      <c r="U269" s="22"/>
    </row>
    <row r="270" spans="3:22" s="73" customFormat="1" ht="36.75" customHeight="1">
      <c r="C270" s="30"/>
      <c r="D270" s="30"/>
      <c r="E270" s="30"/>
      <c r="F270" s="187"/>
      <c r="G270" s="74" t="s">
        <v>142</v>
      </c>
      <c r="H270" s="132">
        <f aca="true" t="shared" si="80" ref="H270:T270">H264+H267+H268+H266+H265</f>
        <v>1096.024</v>
      </c>
      <c r="I270" s="132">
        <f t="shared" si="80"/>
        <v>159.63599</v>
      </c>
      <c r="J270" s="129">
        <f t="shared" si="67"/>
        <v>14.56500861295008</v>
      </c>
      <c r="K270" s="132">
        <f t="shared" si="80"/>
        <v>680.1759999999999</v>
      </c>
      <c r="L270" s="132">
        <f t="shared" si="80"/>
        <v>0</v>
      </c>
      <c r="M270" s="132">
        <f t="shared" si="80"/>
        <v>33.8841</v>
      </c>
      <c r="N270" s="132">
        <f t="shared" si="80"/>
        <v>0</v>
      </c>
      <c r="O270" s="128">
        <f>M270/K270*100</f>
        <v>4.981666509844511</v>
      </c>
      <c r="P270" s="132">
        <f t="shared" si="80"/>
        <v>1776.1999999999998</v>
      </c>
      <c r="Q270" s="132">
        <f t="shared" si="80"/>
        <v>193.52008999999998</v>
      </c>
      <c r="R270" s="132">
        <f t="shared" si="80"/>
        <v>-1582.6799099999998</v>
      </c>
      <c r="S270" s="132">
        <f t="shared" si="80"/>
        <v>38.06721098133048</v>
      </c>
      <c r="T270" s="63">
        <f t="shared" si="80"/>
        <v>500</v>
      </c>
      <c r="U270" s="75"/>
      <c r="V270" s="75"/>
    </row>
    <row r="271" spans="3:21" s="50" customFormat="1" ht="83.25" customHeight="1">
      <c r="C271" s="30" t="s">
        <v>177</v>
      </c>
      <c r="D271" s="30"/>
      <c r="E271" s="30"/>
      <c r="F271" s="187"/>
      <c r="G271" s="48" t="s">
        <v>649</v>
      </c>
      <c r="H271" s="132"/>
      <c r="I271" s="132"/>
      <c r="J271" s="129"/>
      <c r="K271" s="132"/>
      <c r="L271" s="132"/>
      <c r="M271" s="132"/>
      <c r="N271" s="132"/>
      <c r="O271" s="132"/>
      <c r="P271" s="132"/>
      <c r="Q271" s="132"/>
      <c r="R271" s="132"/>
      <c r="S271" s="132"/>
      <c r="T271" s="63"/>
      <c r="U271" s="53"/>
    </row>
    <row r="272" spans="3:21" s="7" customFormat="1" ht="76.5" customHeight="1">
      <c r="C272" s="119" t="s">
        <v>178</v>
      </c>
      <c r="D272" s="32"/>
      <c r="E272" s="32"/>
      <c r="F272" s="187"/>
      <c r="G272" s="48" t="s">
        <v>650</v>
      </c>
      <c r="H272" s="128"/>
      <c r="I272" s="128"/>
      <c r="J272" s="129"/>
      <c r="K272" s="128"/>
      <c r="L272" s="128"/>
      <c r="M272" s="128"/>
      <c r="N272" s="128"/>
      <c r="O272" s="128"/>
      <c r="P272" s="128"/>
      <c r="Q272" s="128"/>
      <c r="R272" s="128"/>
      <c r="S272" s="128"/>
      <c r="T272" s="14"/>
      <c r="U272" s="22"/>
    </row>
    <row r="273" spans="1:20" s="7" customFormat="1" ht="153" customHeight="1">
      <c r="A273" s="7">
        <v>8</v>
      </c>
      <c r="B273" s="7">
        <v>57</v>
      </c>
      <c r="C273" s="32" t="s">
        <v>316</v>
      </c>
      <c r="D273" s="32" t="s">
        <v>439</v>
      </c>
      <c r="E273" s="32" t="s">
        <v>440</v>
      </c>
      <c r="F273" s="5" t="s">
        <v>205</v>
      </c>
      <c r="G273" s="33" t="s">
        <v>651</v>
      </c>
      <c r="H273" s="129">
        <v>1333</v>
      </c>
      <c r="I273" s="129">
        <v>283.42285</v>
      </c>
      <c r="J273" s="129">
        <f t="shared" si="67"/>
        <v>21.262029257314328</v>
      </c>
      <c r="K273" s="129"/>
      <c r="L273" s="129"/>
      <c r="M273" s="131"/>
      <c r="N273" s="131"/>
      <c r="O273" s="129"/>
      <c r="P273" s="129">
        <f aca="true" t="shared" si="81" ref="P273:P283">H273+K273</f>
        <v>1333</v>
      </c>
      <c r="Q273" s="129">
        <f aca="true" t="shared" si="82" ref="Q273:Q283">I273+M273</f>
        <v>283.42285</v>
      </c>
      <c r="R273" s="129">
        <f aca="true" t="shared" si="83" ref="R273:R283">Q273-P273</f>
        <v>-1049.57715</v>
      </c>
      <c r="S273" s="129">
        <f>Q273/P273*100</f>
        <v>21.262029257314328</v>
      </c>
      <c r="T273" s="34"/>
    </row>
    <row r="274" spans="3:20" s="7" customFormat="1" ht="39.75" customHeight="1">
      <c r="C274" s="32" t="s">
        <v>151</v>
      </c>
      <c r="D274" s="32" t="s">
        <v>455</v>
      </c>
      <c r="E274" s="32" t="s">
        <v>477</v>
      </c>
      <c r="F274" s="33" t="s">
        <v>92</v>
      </c>
      <c r="G274" s="33" t="s">
        <v>699</v>
      </c>
      <c r="H274" s="128"/>
      <c r="I274" s="129">
        <f>I275</f>
        <v>0</v>
      </c>
      <c r="J274" s="129"/>
      <c r="K274" s="129">
        <f>K275</f>
        <v>203.624</v>
      </c>
      <c r="L274" s="129">
        <f>L275</f>
        <v>0</v>
      </c>
      <c r="M274" s="128">
        <f>M275</f>
        <v>0</v>
      </c>
      <c r="N274" s="128">
        <f>N275</f>
        <v>0</v>
      </c>
      <c r="O274" s="129">
        <f>O275</f>
        <v>0</v>
      </c>
      <c r="P274" s="129">
        <f t="shared" si="81"/>
        <v>203.624</v>
      </c>
      <c r="Q274" s="129">
        <f t="shared" si="82"/>
        <v>0</v>
      </c>
      <c r="R274" s="129">
        <f t="shared" si="83"/>
        <v>-203.624</v>
      </c>
      <c r="S274" s="129">
        <f>Q274/P274*100</f>
        <v>0</v>
      </c>
      <c r="T274" s="34">
        <f>T275</f>
        <v>203.624</v>
      </c>
    </row>
    <row r="275" spans="3:20" s="7" customFormat="1" ht="78" customHeight="1">
      <c r="C275" s="32" t="s">
        <v>152</v>
      </c>
      <c r="D275" s="32" t="s">
        <v>456</v>
      </c>
      <c r="E275" s="32" t="s">
        <v>477</v>
      </c>
      <c r="F275" s="55" t="s">
        <v>698</v>
      </c>
      <c r="G275" s="55" t="s">
        <v>679</v>
      </c>
      <c r="H275" s="128"/>
      <c r="I275" s="129"/>
      <c r="J275" s="129"/>
      <c r="K275" s="129">
        <v>203.624</v>
      </c>
      <c r="L275" s="129"/>
      <c r="M275" s="128">
        <v>0</v>
      </c>
      <c r="N275" s="128">
        <v>0</v>
      </c>
      <c r="O275" s="129">
        <f>M275/K275*100</f>
        <v>0</v>
      </c>
      <c r="P275" s="129">
        <f t="shared" si="81"/>
        <v>203.624</v>
      </c>
      <c r="Q275" s="129">
        <f t="shared" si="82"/>
        <v>0</v>
      </c>
      <c r="R275" s="129">
        <f t="shared" si="83"/>
        <v>-203.624</v>
      </c>
      <c r="S275" s="129">
        <f>Q275/P275*100</f>
        <v>0</v>
      </c>
      <c r="T275" s="34">
        <v>203.624</v>
      </c>
    </row>
    <row r="276" spans="2:20" s="7" customFormat="1" ht="30" customHeight="1">
      <c r="B276" s="85">
        <v>58</v>
      </c>
      <c r="C276" s="32" t="s">
        <v>179</v>
      </c>
      <c r="D276" s="32" t="s">
        <v>611</v>
      </c>
      <c r="E276" s="32" t="s">
        <v>612</v>
      </c>
      <c r="F276" s="5" t="s">
        <v>48</v>
      </c>
      <c r="G276" s="41" t="s">
        <v>93</v>
      </c>
      <c r="H276" s="128">
        <f>H277</f>
        <v>60</v>
      </c>
      <c r="I276" s="128">
        <f>I277</f>
        <v>0</v>
      </c>
      <c r="J276" s="129">
        <f t="shared" si="67"/>
        <v>0</v>
      </c>
      <c r="K276" s="128"/>
      <c r="L276" s="128"/>
      <c r="M276" s="128"/>
      <c r="N276" s="128"/>
      <c r="O276" s="128"/>
      <c r="P276" s="128">
        <f t="shared" si="81"/>
        <v>60</v>
      </c>
      <c r="Q276" s="128">
        <f t="shared" si="82"/>
        <v>0</v>
      </c>
      <c r="R276" s="128">
        <f t="shared" si="83"/>
        <v>-60</v>
      </c>
      <c r="S276" s="128">
        <f>Q276/P276*100</f>
        <v>0</v>
      </c>
      <c r="T276" s="14">
        <f>T277</f>
        <v>0</v>
      </c>
    </row>
    <row r="277" spans="3:20" s="39" customFormat="1" ht="87" customHeight="1">
      <c r="C277" s="35" t="s">
        <v>216</v>
      </c>
      <c r="D277" s="35" t="s">
        <v>613</v>
      </c>
      <c r="E277" s="35" t="s">
        <v>612</v>
      </c>
      <c r="F277" s="36" t="s">
        <v>48</v>
      </c>
      <c r="G277" s="55" t="s">
        <v>679</v>
      </c>
      <c r="H277" s="128">
        <v>60</v>
      </c>
      <c r="I277" s="130">
        <v>0</v>
      </c>
      <c r="J277" s="129">
        <f t="shared" si="67"/>
        <v>0</v>
      </c>
      <c r="K277" s="130"/>
      <c r="L277" s="130"/>
      <c r="M277" s="137"/>
      <c r="N277" s="137"/>
      <c r="O277" s="133"/>
      <c r="P277" s="128">
        <f t="shared" si="81"/>
        <v>60</v>
      </c>
      <c r="Q277" s="128">
        <f t="shared" si="82"/>
        <v>0</v>
      </c>
      <c r="R277" s="128">
        <f t="shared" si="83"/>
        <v>-60</v>
      </c>
      <c r="S277" s="128">
        <f>Q277/P277*100</f>
        <v>0</v>
      </c>
      <c r="T277" s="56"/>
    </row>
    <row r="278" spans="2:20" s="7" customFormat="1" ht="45" customHeight="1" hidden="1">
      <c r="B278" s="7">
        <v>62</v>
      </c>
      <c r="C278" s="32" t="s">
        <v>132</v>
      </c>
      <c r="D278" s="32"/>
      <c r="E278" s="32"/>
      <c r="F278" s="5" t="s">
        <v>265</v>
      </c>
      <c r="G278" s="41" t="s">
        <v>115</v>
      </c>
      <c r="H278" s="128"/>
      <c r="I278" s="128"/>
      <c r="J278" s="129" t="e">
        <f t="shared" si="67"/>
        <v>#DIV/0!</v>
      </c>
      <c r="K278" s="128"/>
      <c r="L278" s="128"/>
      <c r="M278" s="128"/>
      <c r="N278" s="128"/>
      <c r="O278" s="185"/>
      <c r="P278" s="128">
        <f t="shared" si="81"/>
        <v>0</v>
      </c>
      <c r="Q278" s="128">
        <f t="shared" si="82"/>
        <v>0</v>
      </c>
      <c r="R278" s="128">
        <f t="shared" si="83"/>
        <v>0</v>
      </c>
      <c r="S278" s="128" t="e">
        <f aca="true" t="shared" si="84" ref="S278:S283">Q278/P278*100</f>
        <v>#DIV/0!</v>
      </c>
      <c r="T278" s="14"/>
    </row>
    <row r="279" spans="1:20" s="7" customFormat="1" ht="96" customHeight="1">
      <c r="A279" s="50">
        <v>2</v>
      </c>
      <c r="B279" s="7">
        <v>60</v>
      </c>
      <c r="C279" s="32" t="s">
        <v>133</v>
      </c>
      <c r="D279" s="32" t="s">
        <v>616</v>
      </c>
      <c r="E279" s="32" t="s">
        <v>615</v>
      </c>
      <c r="F279" s="5" t="s">
        <v>253</v>
      </c>
      <c r="G279" s="33" t="s">
        <v>114</v>
      </c>
      <c r="H279" s="128">
        <v>208.3</v>
      </c>
      <c r="I279" s="128">
        <v>7.9375</v>
      </c>
      <c r="J279" s="129">
        <f t="shared" si="67"/>
        <v>3.8106096975516084</v>
      </c>
      <c r="K279" s="128">
        <v>100</v>
      </c>
      <c r="L279" s="128"/>
      <c r="M279" s="131">
        <v>0</v>
      </c>
      <c r="N279" s="131">
        <v>0</v>
      </c>
      <c r="O279" s="128">
        <f>M279/K279*100</f>
        <v>0</v>
      </c>
      <c r="P279" s="128">
        <f t="shared" si="81"/>
        <v>308.3</v>
      </c>
      <c r="Q279" s="128">
        <f t="shared" si="82"/>
        <v>7.9375</v>
      </c>
      <c r="R279" s="128">
        <f t="shared" si="83"/>
        <v>-300.3625</v>
      </c>
      <c r="S279" s="128">
        <f t="shared" si="84"/>
        <v>2.5746026597469998</v>
      </c>
      <c r="T279" s="14">
        <v>100</v>
      </c>
    </row>
    <row r="280" spans="1:20" s="7" customFormat="1" ht="66.75" customHeight="1" hidden="1">
      <c r="A280" s="50"/>
      <c r="C280" s="5" t="s">
        <v>295</v>
      </c>
      <c r="D280" s="5" t="s">
        <v>617</v>
      </c>
      <c r="E280" s="5" t="s">
        <v>618</v>
      </c>
      <c r="F280" s="5" t="s">
        <v>289</v>
      </c>
      <c r="G280" s="33" t="s">
        <v>298</v>
      </c>
      <c r="H280" s="128">
        <f>I280+L280</f>
        <v>0</v>
      </c>
      <c r="I280" s="128">
        <f>SUM(I281:I282)</f>
        <v>0</v>
      </c>
      <c r="J280" s="129" t="e">
        <f t="shared" si="67"/>
        <v>#DIV/0!</v>
      </c>
      <c r="K280" s="128"/>
      <c r="L280" s="128"/>
      <c r="M280" s="131"/>
      <c r="N280" s="131"/>
      <c r="O280" s="128"/>
      <c r="P280" s="128">
        <f t="shared" si="81"/>
        <v>0</v>
      </c>
      <c r="Q280" s="128">
        <f t="shared" si="82"/>
        <v>0</v>
      </c>
      <c r="R280" s="128">
        <f t="shared" si="83"/>
        <v>0</v>
      </c>
      <c r="S280" s="128" t="e">
        <f t="shared" si="84"/>
        <v>#DIV/0!</v>
      </c>
      <c r="T280" s="14"/>
    </row>
    <row r="281" spans="1:20" s="39" customFormat="1" ht="32.25" customHeight="1" hidden="1">
      <c r="A281" s="89"/>
      <c r="C281" s="36"/>
      <c r="D281" s="36"/>
      <c r="E281" s="36"/>
      <c r="F281" s="36"/>
      <c r="G281" s="45" t="s">
        <v>297</v>
      </c>
      <c r="H281" s="130">
        <f>I281+L281</f>
        <v>0</v>
      </c>
      <c r="I281" s="130"/>
      <c r="J281" s="129" t="e">
        <f t="shared" si="67"/>
        <v>#DIV/0!</v>
      </c>
      <c r="K281" s="130"/>
      <c r="L281" s="130"/>
      <c r="M281" s="137"/>
      <c r="N281" s="137"/>
      <c r="O281" s="130"/>
      <c r="P281" s="128">
        <f t="shared" si="81"/>
        <v>0</v>
      </c>
      <c r="Q281" s="128">
        <f t="shared" si="82"/>
        <v>0</v>
      </c>
      <c r="R281" s="128">
        <f t="shared" si="83"/>
        <v>0</v>
      </c>
      <c r="S281" s="128" t="e">
        <f t="shared" si="84"/>
        <v>#DIV/0!</v>
      </c>
      <c r="T281" s="38"/>
    </row>
    <row r="282" spans="1:20" s="39" customFormat="1" ht="76.5" customHeight="1" hidden="1">
      <c r="A282" s="89"/>
      <c r="C282" s="36"/>
      <c r="D282" s="36"/>
      <c r="E282" s="36"/>
      <c r="F282" s="36"/>
      <c r="G282" s="45" t="s">
        <v>301</v>
      </c>
      <c r="H282" s="130">
        <f>I282+L282</f>
        <v>0</v>
      </c>
      <c r="I282" s="130"/>
      <c r="J282" s="129" t="e">
        <f t="shared" si="67"/>
        <v>#DIV/0!</v>
      </c>
      <c r="K282" s="130"/>
      <c r="L282" s="130"/>
      <c r="M282" s="137"/>
      <c r="N282" s="137"/>
      <c r="O282" s="130"/>
      <c r="P282" s="128">
        <f t="shared" si="81"/>
        <v>0</v>
      </c>
      <c r="Q282" s="128">
        <f t="shared" si="82"/>
        <v>0</v>
      </c>
      <c r="R282" s="128">
        <f t="shared" si="83"/>
        <v>0</v>
      </c>
      <c r="S282" s="128" t="e">
        <f t="shared" si="84"/>
        <v>#DIV/0!</v>
      </c>
      <c r="T282" s="38"/>
    </row>
    <row r="283" spans="1:20" s="7" customFormat="1" ht="39" customHeight="1">
      <c r="A283" s="50">
        <v>3</v>
      </c>
      <c r="B283" s="7">
        <v>59</v>
      </c>
      <c r="C283" s="32" t="s">
        <v>279</v>
      </c>
      <c r="D283" s="32" t="s">
        <v>614</v>
      </c>
      <c r="E283" s="32" t="s">
        <v>615</v>
      </c>
      <c r="F283" s="5" t="s">
        <v>223</v>
      </c>
      <c r="G283" s="33" t="s">
        <v>323</v>
      </c>
      <c r="H283" s="128">
        <v>448</v>
      </c>
      <c r="I283" s="128">
        <v>123.03125</v>
      </c>
      <c r="J283" s="129">
        <f t="shared" si="67"/>
        <v>27.462332589285715</v>
      </c>
      <c r="K283" s="128"/>
      <c r="L283" s="128"/>
      <c r="M283" s="131"/>
      <c r="N283" s="131"/>
      <c r="O283" s="128"/>
      <c r="P283" s="128">
        <f t="shared" si="81"/>
        <v>448</v>
      </c>
      <c r="Q283" s="128">
        <f t="shared" si="82"/>
        <v>123.03125</v>
      </c>
      <c r="R283" s="128">
        <f t="shared" si="83"/>
        <v>-324.96875</v>
      </c>
      <c r="S283" s="128">
        <f t="shared" si="84"/>
        <v>27.462332589285715</v>
      </c>
      <c r="T283" s="14"/>
    </row>
    <row r="284" spans="3:20" s="7" customFormat="1" ht="44.25" customHeight="1" hidden="1">
      <c r="C284" s="32" t="s">
        <v>619</v>
      </c>
      <c r="D284" s="32" t="s">
        <v>476</v>
      </c>
      <c r="E284" s="32" t="s">
        <v>477</v>
      </c>
      <c r="F284" s="5" t="s">
        <v>3</v>
      </c>
      <c r="G284" s="42" t="s">
        <v>401</v>
      </c>
      <c r="H284" s="128"/>
      <c r="I284" s="128">
        <f>SUM(I285:I286)</f>
        <v>0</v>
      </c>
      <c r="J284" s="129" t="e">
        <f t="shared" si="67"/>
        <v>#DIV/0!</v>
      </c>
      <c r="K284" s="128">
        <f aca="true" t="shared" si="85" ref="K284:T284">SUM(K285:K286)</f>
        <v>0</v>
      </c>
      <c r="L284" s="128">
        <f t="shared" si="85"/>
        <v>0</v>
      </c>
      <c r="M284" s="128">
        <f t="shared" si="85"/>
        <v>0</v>
      </c>
      <c r="N284" s="128"/>
      <c r="O284" s="128">
        <f t="shared" si="85"/>
        <v>0</v>
      </c>
      <c r="P284" s="128">
        <f t="shared" si="85"/>
        <v>0</v>
      </c>
      <c r="Q284" s="128">
        <f t="shared" si="85"/>
        <v>0</v>
      </c>
      <c r="R284" s="128">
        <f t="shared" si="85"/>
        <v>0</v>
      </c>
      <c r="S284" s="128">
        <f t="shared" si="85"/>
        <v>0</v>
      </c>
      <c r="T284" s="14">
        <f t="shared" si="85"/>
        <v>0</v>
      </c>
    </row>
    <row r="285" spans="3:20" s="39" customFormat="1" ht="39" customHeight="1" hidden="1">
      <c r="C285" s="35"/>
      <c r="D285" s="35"/>
      <c r="E285" s="35"/>
      <c r="F285" s="36"/>
      <c r="G285" s="52" t="s">
        <v>38</v>
      </c>
      <c r="H285" s="130"/>
      <c r="I285" s="130"/>
      <c r="J285" s="129" t="e">
        <f t="shared" si="67"/>
        <v>#DIV/0!</v>
      </c>
      <c r="K285" s="130"/>
      <c r="L285" s="130"/>
      <c r="M285" s="137"/>
      <c r="N285" s="137"/>
      <c r="O285" s="130"/>
      <c r="P285" s="130"/>
      <c r="Q285" s="130"/>
      <c r="R285" s="130"/>
      <c r="S285" s="130"/>
      <c r="T285" s="38"/>
    </row>
    <row r="286" spans="3:20" s="39" customFormat="1" ht="86.25" customHeight="1" hidden="1">
      <c r="C286" s="35"/>
      <c r="D286" s="35"/>
      <c r="E286" s="35"/>
      <c r="F286" s="36"/>
      <c r="G286" s="52" t="s">
        <v>402</v>
      </c>
      <c r="H286" s="130"/>
      <c r="I286" s="130"/>
      <c r="J286" s="129" t="e">
        <f t="shared" si="67"/>
        <v>#DIV/0!</v>
      </c>
      <c r="K286" s="130"/>
      <c r="L286" s="130"/>
      <c r="M286" s="137"/>
      <c r="N286" s="137"/>
      <c r="O286" s="133"/>
      <c r="P286" s="133"/>
      <c r="Q286" s="133"/>
      <c r="R286" s="133"/>
      <c r="S286" s="133"/>
      <c r="T286" s="56"/>
    </row>
    <row r="287" spans="1:20" s="7" customFormat="1" ht="29.25" customHeight="1" hidden="1">
      <c r="A287" s="50">
        <v>1</v>
      </c>
      <c r="B287" s="7">
        <v>61</v>
      </c>
      <c r="C287" s="32" t="s">
        <v>151</v>
      </c>
      <c r="D287" s="32"/>
      <c r="E287" s="32"/>
      <c r="F287" s="5" t="s">
        <v>206</v>
      </c>
      <c r="G287" s="43" t="s">
        <v>92</v>
      </c>
      <c r="H287" s="128">
        <f>H288+H289</f>
        <v>0</v>
      </c>
      <c r="I287" s="128">
        <f>I288+I289</f>
        <v>0</v>
      </c>
      <c r="J287" s="129" t="e">
        <f aca="true" t="shared" si="86" ref="J287:J311">I287/H287*100</f>
        <v>#DIV/0!</v>
      </c>
      <c r="K287" s="128">
        <f aca="true" t="shared" si="87" ref="K287:T287">K288+K289</f>
        <v>0</v>
      </c>
      <c r="L287" s="128"/>
      <c r="M287" s="128">
        <f t="shared" si="87"/>
        <v>0</v>
      </c>
      <c r="N287" s="128"/>
      <c r="O287" s="128">
        <f t="shared" si="87"/>
        <v>0</v>
      </c>
      <c r="P287" s="128">
        <f t="shared" si="87"/>
        <v>0</v>
      </c>
      <c r="Q287" s="128">
        <f t="shared" si="87"/>
        <v>0</v>
      </c>
      <c r="R287" s="128">
        <f t="shared" si="87"/>
        <v>0</v>
      </c>
      <c r="S287" s="128">
        <f t="shared" si="87"/>
        <v>0</v>
      </c>
      <c r="T287" s="14">
        <f t="shared" si="87"/>
        <v>0</v>
      </c>
    </row>
    <row r="288" spans="3:20" s="39" customFormat="1" ht="16.5" customHeight="1" hidden="1">
      <c r="C288" s="32" t="s">
        <v>152</v>
      </c>
      <c r="D288" s="32"/>
      <c r="E288" s="32"/>
      <c r="F288" s="36"/>
      <c r="G288" s="37" t="s">
        <v>37</v>
      </c>
      <c r="H288" s="130">
        <f>40-35-5</f>
        <v>0</v>
      </c>
      <c r="I288" s="130"/>
      <c r="J288" s="129" t="e">
        <f t="shared" si="86"/>
        <v>#DIV/0!</v>
      </c>
      <c r="K288" s="130"/>
      <c r="L288" s="130"/>
      <c r="M288" s="137"/>
      <c r="N288" s="137"/>
      <c r="O288" s="130"/>
      <c r="P288" s="130"/>
      <c r="Q288" s="130"/>
      <c r="R288" s="130"/>
      <c r="S288" s="130"/>
      <c r="T288" s="38"/>
    </row>
    <row r="289" spans="3:20" s="39" customFormat="1" ht="39" customHeight="1" hidden="1">
      <c r="C289" s="35" t="s">
        <v>152</v>
      </c>
      <c r="D289" s="35"/>
      <c r="E289" s="35"/>
      <c r="F289" s="36"/>
      <c r="G289" s="37" t="s">
        <v>38</v>
      </c>
      <c r="H289" s="130"/>
      <c r="I289" s="130"/>
      <c r="J289" s="129" t="e">
        <f t="shared" si="86"/>
        <v>#DIV/0!</v>
      </c>
      <c r="K289" s="130"/>
      <c r="L289" s="130"/>
      <c r="M289" s="137"/>
      <c r="N289" s="137"/>
      <c r="O289" s="130"/>
      <c r="P289" s="130"/>
      <c r="Q289" s="130"/>
      <c r="R289" s="130"/>
      <c r="S289" s="130"/>
      <c r="T289" s="38"/>
    </row>
    <row r="290" spans="1:20" s="7" customFormat="1" ht="90.75" customHeight="1" hidden="1">
      <c r="A290" s="7">
        <v>4</v>
      </c>
      <c r="B290" s="7">
        <v>65</v>
      </c>
      <c r="C290" s="32" t="s">
        <v>373</v>
      </c>
      <c r="D290" s="32"/>
      <c r="E290" s="32"/>
      <c r="F290" s="5" t="s">
        <v>286</v>
      </c>
      <c r="G290" s="41" t="s">
        <v>372</v>
      </c>
      <c r="H290" s="128">
        <f>SUM(H291:H293)</f>
        <v>0</v>
      </c>
      <c r="I290" s="128">
        <f>SUM(I291:I293)</f>
        <v>0</v>
      </c>
      <c r="J290" s="129" t="e">
        <f t="shared" si="86"/>
        <v>#DIV/0!</v>
      </c>
      <c r="K290" s="128">
        <f aca="true" t="shared" si="88" ref="K290:T290">SUM(K291:K293)</f>
        <v>0</v>
      </c>
      <c r="L290" s="128"/>
      <c r="M290" s="128">
        <f t="shared" si="88"/>
        <v>0</v>
      </c>
      <c r="N290" s="128"/>
      <c r="O290" s="128">
        <f t="shared" si="88"/>
        <v>0</v>
      </c>
      <c r="P290" s="128">
        <f t="shared" si="88"/>
        <v>0</v>
      </c>
      <c r="Q290" s="128">
        <f t="shared" si="88"/>
        <v>0</v>
      </c>
      <c r="R290" s="128">
        <f t="shared" si="88"/>
        <v>0</v>
      </c>
      <c r="S290" s="128">
        <f t="shared" si="88"/>
        <v>0</v>
      </c>
      <c r="T290" s="14">
        <f t="shared" si="88"/>
        <v>0</v>
      </c>
    </row>
    <row r="291" spans="2:20" s="19" customFormat="1" ht="60" customHeight="1" hidden="1">
      <c r="B291" s="39"/>
      <c r="C291" s="35"/>
      <c r="D291" s="35"/>
      <c r="E291" s="35"/>
      <c r="F291" s="36"/>
      <c r="G291" s="55" t="s">
        <v>371</v>
      </c>
      <c r="H291" s="128"/>
      <c r="I291" s="128"/>
      <c r="J291" s="129" t="e">
        <f t="shared" si="86"/>
        <v>#DIV/0!</v>
      </c>
      <c r="K291" s="130"/>
      <c r="L291" s="130"/>
      <c r="M291" s="137"/>
      <c r="N291" s="137"/>
      <c r="O291" s="130"/>
      <c r="P291" s="130"/>
      <c r="Q291" s="130"/>
      <c r="R291" s="130"/>
      <c r="S291" s="130"/>
      <c r="T291" s="38"/>
    </row>
    <row r="292" spans="2:20" s="19" customFormat="1" ht="78" customHeight="1" hidden="1">
      <c r="B292" s="39"/>
      <c r="C292" s="35"/>
      <c r="D292" s="35"/>
      <c r="E292" s="35"/>
      <c r="F292" s="36"/>
      <c r="G292" s="55" t="s">
        <v>397</v>
      </c>
      <c r="H292" s="128"/>
      <c r="I292" s="128"/>
      <c r="J292" s="129" t="e">
        <f t="shared" si="86"/>
        <v>#DIV/0!</v>
      </c>
      <c r="K292" s="130"/>
      <c r="L292" s="130"/>
      <c r="M292" s="137"/>
      <c r="N292" s="137"/>
      <c r="O292" s="130"/>
      <c r="P292" s="130"/>
      <c r="Q292" s="130"/>
      <c r="R292" s="130"/>
      <c r="S292" s="130"/>
      <c r="T292" s="38"/>
    </row>
    <row r="293" spans="3:20" s="19" customFormat="1" ht="72.75" customHeight="1" hidden="1">
      <c r="C293" s="35"/>
      <c r="D293" s="35"/>
      <c r="E293" s="35"/>
      <c r="F293" s="36" t="s">
        <v>189</v>
      </c>
      <c r="G293" s="55" t="s">
        <v>42</v>
      </c>
      <c r="H293" s="130"/>
      <c r="I293" s="130"/>
      <c r="J293" s="129" t="e">
        <f t="shared" si="86"/>
        <v>#DIV/0!</v>
      </c>
      <c r="K293" s="130"/>
      <c r="L293" s="130"/>
      <c r="M293" s="137"/>
      <c r="N293" s="137"/>
      <c r="O293" s="130"/>
      <c r="P293" s="130"/>
      <c r="Q293" s="130"/>
      <c r="R293" s="130"/>
      <c r="S293" s="130"/>
      <c r="T293" s="38"/>
    </row>
    <row r="294" spans="3:22" s="73" customFormat="1" ht="27.75" customHeight="1">
      <c r="C294" s="30"/>
      <c r="D294" s="30"/>
      <c r="E294" s="30"/>
      <c r="F294" s="187"/>
      <c r="G294" s="74" t="s">
        <v>142</v>
      </c>
      <c r="H294" s="132">
        <f>H273+H276+H283+H279+H280+H287+H290+H284+H274</f>
        <v>2049.3</v>
      </c>
      <c r="I294" s="132">
        <f aca="true" t="shared" si="89" ref="I294:T294">I273+I276+I283+I279+I280+I287+I290+I284+I274</f>
        <v>414.3916</v>
      </c>
      <c r="J294" s="129">
        <f t="shared" si="86"/>
        <v>20.221129166056702</v>
      </c>
      <c r="K294" s="132">
        <f t="shared" si="89"/>
        <v>303.624</v>
      </c>
      <c r="L294" s="132">
        <f t="shared" si="89"/>
        <v>0</v>
      </c>
      <c r="M294" s="132">
        <f t="shared" si="89"/>
        <v>0</v>
      </c>
      <c r="N294" s="132">
        <f t="shared" si="89"/>
        <v>0</v>
      </c>
      <c r="O294" s="132">
        <f t="shared" si="89"/>
        <v>0</v>
      </c>
      <c r="P294" s="132">
        <f t="shared" si="89"/>
        <v>2352.924</v>
      </c>
      <c r="Q294" s="132">
        <f t="shared" si="89"/>
        <v>414.3916</v>
      </c>
      <c r="R294" s="132">
        <f t="shared" si="89"/>
        <v>-1938.5324</v>
      </c>
      <c r="S294" s="132">
        <f>Q294/P294*100</f>
        <v>17.61177156593243</v>
      </c>
      <c r="T294" s="63">
        <f t="shared" si="89"/>
        <v>303.624</v>
      </c>
      <c r="U294" s="75"/>
      <c r="V294" s="75"/>
    </row>
    <row r="295" spans="3:21" s="50" customFormat="1" ht="48.75" customHeight="1">
      <c r="C295" s="30" t="s">
        <v>171</v>
      </c>
      <c r="D295" s="30"/>
      <c r="E295" s="30"/>
      <c r="F295" s="187"/>
      <c r="G295" s="48" t="s">
        <v>420</v>
      </c>
      <c r="H295" s="132"/>
      <c r="I295" s="132"/>
      <c r="J295" s="129"/>
      <c r="K295" s="132"/>
      <c r="L295" s="132"/>
      <c r="M295" s="132"/>
      <c r="N295" s="132"/>
      <c r="O295" s="132"/>
      <c r="P295" s="132"/>
      <c r="Q295" s="132"/>
      <c r="R295" s="132"/>
      <c r="S295" s="132"/>
      <c r="T295" s="63"/>
      <c r="U295" s="53"/>
    </row>
    <row r="296" spans="3:21" s="7" customFormat="1" ht="45.75" customHeight="1">
      <c r="C296" s="119" t="s">
        <v>172</v>
      </c>
      <c r="D296" s="32"/>
      <c r="E296" s="32"/>
      <c r="F296" s="5"/>
      <c r="G296" s="43" t="s">
        <v>421</v>
      </c>
      <c r="H296" s="128"/>
      <c r="I296" s="128"/>
      <c r="J296" s="129"/>
      <c r="K296" s="128"/>
      <c r="L296" s="128"/>
      <c r="M296" s="128"/>
      <c r="N296" s="128"/>
      <c r="O296" s="128"/>
      <c r="P296" s="128"/>
      <c r="Q296" s="128"/>
      <c r="R296" s="128"/>
      <c r="S296" s="128"/>
      <c r="T296" s="14"/>
      <c r="U296" s="22"/>
    </row>
    <row r="297" spans="1:20" s="7" customFormat="1" ht="87.75" customHeight="1">
      <c r="A297" s="7">
        <v>6</v>
      </c>
      <c r="B297" s="7">
        <v>45</v>
      </c>
      <c r="C297" s="32" t="s">
        <v>312</v>
      </c>
      <c r="D297" s="32" t="s">
        <v>439</v>
      </c>
      <c r="E297" s="32" t="s">
        <v>440</v>
      </c>
      <c r="F297" s="5" t="s">
        <v>205</v>
      </c>
      <c r="G297" s="33" t="s">
        <v>628</v>
      </c>
      <c r="H297" s="128">
        <f>2172.6+45</f>
        <v>2217.6</v>
      </c>
      <c r="I297" s="128">
        <v>501.92627</v>
      </c>
      <c r="J297" s="129">
        <f t="shared" si="86"/>
        <v>22.633760371572873</v>
      </c>
      <c r="K297" s="128"/>
      <c r="L297" s="129"/>
      <c r="M297" s="128"/>
      <c r="N297" s="128"/>
      <c r="O297" s="129"/>
      <c r="P297" s="129">
        <f>H297+K297</f>
        <v>2217.6</v>
      </c>
      <c r="Q297" s="129">
        <f>I297+N297</f>
        <v>501.92627</v>
      </c>
      <c r="R297" s="129">
        <f>Q297-P297</f>
        <v>-1715.67373</v>
      </c>
      <c r="S297" s="129">
        <f>Q297/P297*100</f>
        <v>22.633760371572873</v>
      </c>
      <c r="T297" s="34"/>
    </row>
    <row r="298" spans="3:20" s="7" customFormat="1" ht="265.5" customHeight="1" hidden="1">
      <c r="C298" s="32" t="s">
        <v>33</v>
      </c>
      <c r="D298" s="32"/>
      <c r="E298" s="32"/>
      <c r="F298" s="5" t="s">
        <v>32</v>
      </c>
      <c r="G298" s="33" t="s">
        <v>296</v>
      </c>
      <c r="H298" s="128"/>
      <c r="I298" s="128"/>
      <c r="J298" s="129" t="e">
        <f t="shared" si="86"/>
        <v>#DIV/0!</v>
      </c>
      <c r="K298" s="128"/>
      <c r="L298" s="129"/>
      <c r="M298" s="128"/>
      <c r="N298" s="128"/>
      <c r="O298" s="129"/>
      <c r="P298" s="129">
        <f aca="true" t="shared" si="90" ref="P298:P307">H298+K298</f>
        <v>0</v>
      </c>
      <c r="Q298" s="129">
        <f aca="true" t="shared" si="91" ref="Q298:Q307">I298+N298</f>
        <v>0</v>
      </c>
      <c r="R298" s="129">
        <f aca="true" t="shared" si="92" ref="R298:R307">Q298-P298</f>
        <v>0</v>
      </c>
      <c r="S298" s="129" t="e">
        <f aca="true" t="shared" si="93" ref="S298:S307">Q298/P298*100</f>
        <v>#DIV/0!</v>
      </c>
      <c r="T298" s="34"/>
    </row>
    <row r="299" spans="3:20" s="7" customFormat="1" ht="108" customHeight="1" hidden="1">
      <c r="C299" s="32" t="s">
        <v>30</v>
      </c>
      <c r="D299" s="32" t="s">
        <v>444</v>
      </c>
      <c r="E299" s="32" t="s">
        <v>445</v>
      </c>
      <c r="F299" s="5" t="s">
        <v>224</v>
      </c>
      <c r="G299" s="33" t="s">
        <v>620</v>
      </c>
      <c r="H299" s="128"/>
      <c r="I299" s="128"/>
      <c r="J299" s="129" t="e">
        <f t="shared" si="86"/>
        <v>#DIV/0!</v>
      </c>
      <c r="K299" s="128"/>
      <c r="L299" s="129"/>
      <c r="M299" s="128"/>
      <c r="N299" s="128"/>
      <c r="O299" s="129"/>
      <c r="P299" s="129">
        <f t="shared" si="90"/>
        <v>0</v>
      </c>
      <c r="Q299" s="129">
        <f t="shared" si="91"/>
        <v>0</v>
      </c>
      <c r="R299" s="129">
        <f t="shared" si="92"/>
        <v>0</v>
      </c>
      <c r="S299" s="129" t="e">
        <f t="shared" si="93"/>
        <v>#DIV/0!</v>
      </c>
      <c r="T299" s="34"/>
    </row>
    <row r="300" spans="1:20" s="18" customFormat="1" ht="33" customHeight="1">
      <c r="A300" s="18">
        <v>2</v>
      </c>
      <c r="B300" s="7">
        <v>46</v>
      </c>
      <c r="C300" s="32" t="s">
        <v>84</v>
      </c>
      <c r="D300" s="32" t="s">
        <v>586</v>
      </c>
      <c r="E300" s="32" t="s">
        <v>477</v>
      </c>
      <c r="F300" s="5" t="s">
        <v>8</v>
      </c>
      <c r="G300" s="33" t="s">
        <v>9</v>
      </c>
      <c r="H300" s="128">
        <v>10</v>
      </c>
      <c r="I300" s="128"/>
      <c r="J300" s="129">
        <f t="shared" si="86"/>
        <v>0</v>
      </c>
      <c r="K300" s="128"/>
      <c r="L300" s="129"/>
      <c r="M300" s="128"/>
      <c r="N300" s="128"/>
      <c r="O300" s="129"/>
      <c r="P300" s="129">
        <f t="shared" si="90"/>
        <v>10</v>
      </c>
      <c r="Q300" s="129">
        <f t="shared" si="91"/>
        <v>0</v>
      </c>
      <c r="R300" s="129">
        <f t="shared" si="92"/>
        <v>-10</v>
      </c>
      <c r="S300" s="129">
        <f t="shared" si="93"/>
        <v>0</v>
      </c>
      <c r="T300" s="34"/>
    </row>
    <row r="301" spans="1:20" s="7" customFormat="1" ht="34.5" customHeight="1">
      <c r="A301" s="50">
        <v>4</v>
      </c>
      <c r="B301" s="7">
        <v>46</v>
      </c>
      <c r="C301" s="5" t="s">
        <v>275</v>
      </c>
      <c r="D301" s="5" t="s">
        <v>587</v>
      </c>
      <c r="E301" s="5" t="s">
        <v>439</v>
      </c>
      <c r="F301" s="5" t="s">
        <v>226</v>
      </c>
      <c r="G301" s="33" t="s">
        <v>281</v>
      </c>
      <c r="H301" s="128">
        <v>30794.9</v>
      </c>
      <c r="I301" s="128">
        <v>7699.1</v>
      </c>
      <c r="J301" s="129">
        <f t="shared" si="86"/>
        <v>25.001217734105325</v>
      </c>
      <c r="K301" s="128"/>
      <c r="L301" s="128"/>
      <c r="M301" s="128"/>
      <c r="N301" s="128"/>
      <c r="O301" s="185"/>
      <c r="P301" s="129">
        <f t="shared" si="90"/>
        <v>30794.9</v>
      </c>
      <c r="Q301" s="129">
        <f t="shared" si="91"/>
        <v>7699.1</v>
      </c>
      <c r="R301" s="129">
        <f t="shared" si="92"/>
        <v>-23095.800000000003</v>
      </c>
      <c r="S301" s="129">
        <f t="shared" si="93"/>
        <v>25.001217734105325</v>
      </c>
      <c r="T301" s="14"/>
    </row>
    <row r="302" spans="2:20" s="7" customFormat="1" ht="93" customHeight="1" hidden="1">
      <c r="B302" s="7">
        <v>81</v>
      </c>
      <c r="C302" s="32" t="s">
        <v>387</v>
      </c>
      <c r="D302" s="32"/>
      <c r="E302" s="32"/>
      <c r="F302" s="5" t="s">
        <v>6</v>
      </c>
      <c r="G302" s="42" t="s">
        <v>7</v>
      </c>
      <c r="H302" s="128"/>
      <c r="I302" s="128"/>
      <c r="J302" s="129" t="e">
        <f t="shared" si="86"/>
        <v>#DIV/0!</v>
      </c>
      <c r="K302" s="128"/>
      <c r="L302" s="128"/>
      <c r="M302" s="128"/>
      <c r="N302" s="128"/>
      <c r="O302" s="185"/>
      <c r="P302" s="129">
        <f t="shared" si="90"/>
        <v>0</v>
      </c>
      <c r="Q302" s="129">
        <f t="shared" si="91"/>
        <v>0</v>
      </c>
      <c r="R302" s="129">
        <f t="shared" si="92"/>
        <v>0</v>
      </c>
      <c r="S302" s="129" t="e">
        <f t="shared" si="93"/>
        <v>#DIV/0!</v>
      </c>
      <c r="T302" s="14"/>
    </row>
    <row r="303" spans="3:20" s="7" customFormat="1" ht="93" customHeight="1" hidden="1">
      <c r="C303" s="32" t="s">
        <v>389</v>
      </c>
      <c r="D303" s="32"/>
      <c r="E303" s="32"/>
      <c r="F303" s="5" t="s">
        <v>388</v>
      </c>
      <c r="G303" s="42" t="s">
        <v>390</v>
      </c>
      <c r="H303" s="128"/>
      <c r="I303" s="128"/>
      <c r="J303" s="129" t="e">
        <f t="shared" si="86"/>
        <v>#DIV/0!</v>
      </c>
      <c r="K303" s="128"/>
      <c r="L303" s="128"/>
      <c r="M303" s="128"/>
      <c r="N303" s="128"/>
      <c r="O303" s="185"/>
      <c r="P303" s="129">
        <f t="shared" si="90"/>
        <v>0</v>
      </c>
      <c r="Q303" s="129">
        <f t="shared" si="91"/>
        <v>0</v>
      </c>
      <c r="R303" s="129">
        <f t="shared" si="92"/>
        <v>0</v>
      </c>
      <c r="S303" s="129" t="e">
        <f t="shared" si="93"/>
        <v>#DIV/0!</v>
      </c>
      <c r="T303" s="14"/>
    </row>
    <row r="304" spans="3:20" s="7" customFormat="1" ht="40.5" customHeight="1" hidden="1">
      <c r="C304" s="5" t="s">
        <v>292</v>
      </c>
      <c r="D304" s="5"/>
      <c r="E304" s="5"/>
      <c r="F304" s="5" t="s">
        <v>291</v>
      </c>
      <c r="G304" s="33" t="s">
        <v>293</v>
      </c>
      <c r="H304" s="128"/>
      <c r="I304" s="128"/>
      <c r="J304" s="129" t="e">
        <f t="shared" si="86"/>
        <v>#DIV/0!</v>
      </c>
      <c r="K304" s="128"/>
      <c r="L304" s="128"/>
      <c r="M304" s="128"/>
      <c r="N304" s="128"/>
      <c r="O304" s="185"/>
      <c r="P304" s="129">
        <f t="shared" si="90"/>
        <v>0</v>
      </c>
      <c r="Q304" s="129">
        <f t="shared" si="91"/>
        <v>0</v>
      </c>
      <c r="R304" s="129">
        <f t="shared" si="92"/>
        <v>0</v>
      </c>
      <c r="S304" s="129" t="e">
        <f t="shared" si="93"/>
        <v>#DIV/0!</v>
      </c>
      <c r="T304" s="14"/>
    </row>
    <row r="305" spans="3:20" s="7" customFormat="1" ht="77.25" customHeight="1" hidden="1">
      <c r="C305" s="36" t="s">
        <v>294</v>
      </c>
      <c r="D305" s="36"/>
      <c r="E305" s="36"/>
      <c r="F305" s="5"/>
      <c r="G305" s="45" t="s">
        <v>398</v>
      </c>
      <c r="H305" s="128"/>
      <c r="I305" s="128"/>
      <c r="J305" s="129" t="e">
        <f t="shared" si="86"/>
        <v>#DIV/0!</v>
      </c>
      <c r="K305" s="128"/>
      <c r="L305" s="128"/>
      <c r="M305" s="128"/>
      <c r="N305" s="128"/>
      <c r="O305" s="185"/>
      <c r="P305" s="129">
        <f t="shared" si="90"/>
        <v>0</v>
      </c>
      <c r="Q305" s="129">
        <f t="shared" si="91"/>
        <v>0</v>
      </c>
      <c r="R305" s="129">
        <f t="shared" si="92"/>
        <v>0</v>
      </c>
      <c r="S305" s="129" t="e">
        <f t="shared" si="93"/>
        <v>#DIV/0!</v>
      </c>
      <c r="T305" s="14"/>
    </row>
    <row r="306" spans="1:20" s="7" customFormat="1" ht="36.75" customHeight="1">
      <c r="A306" s="50">
        <v>9</v>
      </c>
      <c r="B306" s="7">
        <v>6</v>
      </c>
      <c r="C306" s="32" t="s">
        <v>621</v>
      </c>
      <c r="D306" s="32" t="s">
        <v>455</v>
      </c>
      <c r="E306" s="32" t="s">
        <v>477</v>
      </c>
      <c r="F306" s="5" t="s">
        <v>206</v>
      </c>
      <c r="G306" s="43" t="s">
        <v>92</v>
      </c>
      <c r="H306" s="128">
        <f>H307</f>
        <v>1675</v>
      </c>
      <c r="I306" s="128">
        <f>SUM(I307)</f>
        <v>0</v>
      </c>
      <c r="J306" s="129">
        <f t="shared" si="86"/>
        <v>0</v>
      </c>
      <c r="K306" s="128"/>
      <c r="L306" s="128">
        <f>SUM(L307)</f>
        <v>0</v>
      </c>
      <c r="M306" s="128"/>
      <c r="N306" s="128"/>
      <c r="O306" s="128">
        <f>SUM(O307)</f>
        <v>0</v>
      </c>
      <c r="P306" s="129">
        <f t="shared" si="90"/>
        <v>1675</v>
      </c>
      <c r="Q306" s="129">
        <f t="shared" si="91"/>
        <v>0</v>
      </c>
      <c r="R306" s="129">
        <f t="shared" si="92"/>
        <v>-1675</v>
      </c>
      <c r="S306" s="129">
        <f t="shared" si="93"/>
        <v>0</v>
      </c>
      <c r="T306" s="14">
        <f>SUM(T307)</f>
        <v>0</v>
      </c>
    </row>
    <row r="307" spans="3:20" s="39" customFormat="1" ht="44.25" customHeight="1">
      <c r="C307" s="35" t="s">
        <v>666</v>
      </c>
      <c r="D307" s="35" t="s">
        <v>456</v>
      </c>
      <c r="E307" s="35" t="s">
        <v>477</v>
      </c>
      <c r="F307" s="186"/>
      <c r="G307" s="37" t="s">
        <v>656</v>
      </c>
      <c r="H307" s="130">
        <f>1700-25</f>
        <v>1675</v>
      </c>
      <c r="I307" s="130">
        <v>0</v>
      </c>
      <c r="J307" s="129">
        <f t="shared" si="86"/>
        <v>0</v>
      </c>
      <c r="K307" s="130"/>
      <c r="L307" s="130"/>
      <c r="M307" s="130"/>
      <c r="N307" s="130"/>
      <c r="O307" s="140"/>
      <c r="P307" s="129">
        <f t="shared" si="90"/>
        <v>1675</v>
      </c>
      <c r="Q307" s="129">
        <f t="shared" si="91"/>
        <v>0</v>
      </c>
      <c r="R307" s="129">
        <f t="shared" si="92"/>
        <v>-1675</v>
      </c>
      <c r="S307" s="129">
        <f t="shared" si="93"/>
        <v>0</v>
      </c>
      <c r="T307" s="38"/>
    </row>
    <row r="308" spans="3:22" s="50" customFormat="1" ht="42" customHeight="1">
      <c r="C308" s="30"/>
      <c r="D308" s="30"/>
      <c r="E308" s="30"/>
      <c r="F308" s="187"/>
      <c r="G308" s="64" t="s">
        <v>142</v>
      </c>
      <c r="H308" s="146">
        <f>SUM(H297:H306)</f>
        <v>34697.5</v>
      </c>
      <c r="I308" s="147">
        <f>SUM(I297:I306)</f>
        <v>8201.02627</v>
      </c>
      <c r="J308" s="129">
        <f t="shared" si="86"/>
        <v>23.635784336047266</v>
      </c>
      <c r="K308" s="147">
        <f aca="true" t="shared" si="94" ref="K308:Q308">SUM(K297:K306)</f>
        <v>0</v>
      </c>
      <c r="L308" s="147">
        <f t="shared" si="94"/>
        <v>0</v>
      </c>
      <c r="M308" s="147">
        <f t="shared" si="94"/>
        <v>0</v>
      </c>
      <c r="N308" s="147">
        <f t="shared" si="94"/>
        <v>0</v>
      </c>
      <c r="O308" s="146">
        <f t="shared" si="94"/>
        <v>0</v>
      </c>
      <c r="P308" s="147">
        <f t="shared" si="94"/>
        <v>34697.5</v>
      </c>
      <c r="Q308" s="147">
        <f t="shared" si="94"/>
        <v>8201.02627</v>
      </c>
      <c r="R308" s="147">
        <f>Q308-P308</f>
        <v>-26496.473729999998</v>
      </c>
      <c r="S308" s="147">
        <f>Q308/P308*100</f>
        <v>23.635784336047266</v>
      </c>
      <c r="T308" s="72">
        <f>SUM(T297:T306)</f>
        <v>0</v>
      </c>
      <c r="U308" s="53"/>
      <c r="V308" s="53"/>
    </row>
    <row r="309" spans="3:22" s="50" customFormat="1" ht="42" customHeight="1" hidden="1">
      <c r="C309" s="30"/>
      <c r="D309" s="30"/>
      <c r="E309" s="30"/>
      <c r="F309" s="187"/>
      <c r="G309" s="64"/>
      <c r="H309" s="146"/>
      <c r="I309" s="146"/>
      <c r="J309" s="129"/>
      <c r="K309" s="146"/>
      <c r="L309" s="146"/>
      <c r="M309" s="146"/>
      <c r="N309" s="146"/>
      <c r="O309" s="146"/>
      <c r="P309" s="146"/>
      <c r="Q309" s="146"/>
      <c r="R309" s="146"/>
      <c r="S309" s="146"/>
      <c r="T309" s="72"/>
      <c r="U309" s="53"/>
      <c r="V309" s="53"/>
    </row>
    <row r="310" spans="3:22" s="156" customFormat="1" ht="34.5" customHeight="1">
      <c r="C310" s="157"/>
      <c r="D310" s="157"/>
      <c r="E310" s="157"/>
      <c r="F310" s="200"/>
      <c r="G310" s="99" t="s">
        <v>225</v>
      </c>
      <c r="H310" s="132">
        <f>H294+H189+H308+H261+H161+H155+H63+H57+H30+H270</f>
        <v>334742.77599</v>
      </c>
      <c r="I310" s="132">
        <f>I294+I189+I308+I261+I161+I155+I63+I57+I30+I270</f>
        <v>80539.61953999999</v>
      </c>
      <c r="J310" s="129">
        <f t="shared" si="86"/>
        <v>24.060151649816635</v>
      </c>
      <c r="K310" s="132">
        <f>K294+K189+K308+K261+K161+K155+K63+K57+K30+K270</f>
        <v>55317.327020000004</v>
      </c>
      <c r="L310" s="132">
        <f>L294+L189+L308+L261+L161+L155+L63+L57+L30+L270</f>
        <v>0</v>
      </c>
      <c r="M310" s="132">
        <f>M294+M189+M308+M261+M161+M155+M63+M57+M30+M270</f>
        <v>3699.81106</v>
      </c>
      <c r="N310" s="132">
        <f>N294+N189+N308+N261+N161+N155+N63+N57+N30+N270</f>
        <v>135.43517</v>
      </c>
      <c r="O310" s="132">
        <f>M310/K310*100</f>
        <v>6.688340271145661</v>
      </c>
      <c r="P310" s="132">
        <f>P294+P189+P308+P261+P161+P155+P63+P57+P30+P270</f>
        <v>390060.10301</v>
      </c>
      <c r="Q310" s="132">
        <f>Q294+Q189+Q308+Q261+Q161+Q155+Q63+Q57+Q30+Q270</f>
        <v>84239.43059999999</v>
      </c>
      <c r="R310" s="132">
        <f>R294+R189+R308+R261+R161+R63+R57+R30+R270</f>
        <v>-204087.21772000002</v>
      </c>
      <c r="S310" s="132">
        <f>Q310/P310*100</f>
        <v>21.596525753324826</v>
      </c>
      <c r="T310" s="154" t="e">
        <f>T294+T189+T308+T261+T161+#REF!+T63+T57+T30+T270</f>
        <v>#REF!</v>
      </c>
      <c r="U310" s="158"/>
      <c r="V310" s="158"/>
    </row>
    <row r="311" spans="3:22" ht="49.5" customHeight="1">
      <c r="C311" s="32"/>
      <c r="D311" s="32"/>
      <c r="E311" s="32"/>
      <c r="F311" s="5"/>
      <c r="G311" s="33" t="s">
        <v>723</v>
      </c>
      <c r="H311" s="128">
        <f>H38+H41+H68+H70+H87+H95+H111+H122+H121+H123+H128+H129+H135+H143</f>
        <v>126238.41399</v>
      </c>
      <c r="I311" s="128">
        <f>I66+I38+I302+I280+I23+I40+I41+I303+I217+I42+I121+I123+I128+I129+I135+I143</f>
        <v>32111.514499999997</v>
      </c>
      <c r="J311" s="129">
        <f t="shared" si="86"/>
        <v>25.437197351468406</v>
      </c>
      <c r="K311" s="128">
        <f>K38+K41+K68+K70+K87+K95+K111+K122+K121+K123+K128+K129+K135+K143</f>
        <v>0</v>
      </c>
      <c r="L311" s="128">
        <f>L38+L41+L68+L70+L87+L95+L111+L122+L121+L123+L128+L129+L135+L143</f>
        <v>0</v>
      </c>
      <c r="M311" s="128">
        <f>M38+M41+M68+M70+M87+M95+M111+M122+M121+M123+M128+M129+M135+M143</f>
        <v>0</v>
      </c>
      <c r="N311" s="128">
        <f>N38+N41+N68+N70+N87+N95+N111+N122+N121+N123+N128+N129+N135+N143</f>
        <v>0</v>
      </c>
      <c r="O311" s="128">
        <v>0</v>
      </c>
      <c r="P311" s="128">
        <f>P38+P41+P68+P70+P87+P95+P111+P122+P121+P123+P128+P129+P135+P143</f>
        <v>126238.41399</v>
      </c>
      <c r="Q311" s="128">
        <f>Q66+Q38+Q302+Q280+Q23+Q40+Q41+Q303+Q217+Q42+Q121+Q123+Q128+Q129+Q135+Q143</f>
        <v>32111.514499999997</v>
      </c>
      <c r="R311" s="128">
        <f>R66+R38+R302+R280+R23+R40+R41+R303+R217+R42</f>
        <v>-93469.4383</v>
      </c>
      <c r="S311" s="128">
        <f>Q311/P311*100</f>
        <v>25.437197351468406</v>
      </c>
      <c r="T311" s="14">
        <f>T66+T38+T302+T280+T23+T40+T41+T303+T217+T42</f>
        <v>0</v>
      </c>
      <c r="U311" s="15"/>
      <c r="V311" s="15"/>
    </row>
    <row r="312" spans="6:20" ht="24.75" customHeight="1" hidden="1">
      <c r="F312" s="201"/>
      <c r="G312" s="1" t="s">
        <v>349</v>
      </c>
      <c r="H312" s="14">
        <f>I312+L312</f>
        <v>0</v>
      </c>
      <c r="I312" s="12">
        <f>I40</f>
        <v>0</v>
      </c>
      <c r="J312" s="12" t="e">
        <f>J40</f>
        <v>#DIV/0!</v>
      </c>
      <c r="K312" s="12">
        <f>K40</f>
        <v>0</v>
      </c>
      <c r="L312" s="12">
        <f>L40</f>
        <v>0</v>
      </c>
      <c r="M312" s="12">
        <f>M40</f>
        <v>0</v>
      </c>
      <c r="N312" s="12"/>
      <c r="O312" s="12" t="e">
        <f aca="true" t="shared" si="95" ref="O312:T312">O40</f>
        <v>#DIV/0!</v>
      </c>
      <c r="P312" s="12">
        <f t="shared" si="95"/>
        <v>0</v>
      </c>
      <c r="Q312" s="12">
        <f t="shared" si="95"/>
        <v>0</v>
      </c>
      <c r="R312" s="12">
        <f t="shared" si="95"/>
        <v>0</v>
      </c>
      <c r="S312" s="12" t="e">
        <f t="shared" si="95"/>
        <v>#DIV/0!</v>
      </c>
      <c r="T312" s="12">
        <f t="shared" si="95"/>
        <v>0</v>
      </c>
    </row>
    <row r="313" spans="3:22" s="11" customFormat="1" ht="21" customHeight="1" hidden="1">
      <c r="C313" s="28"/>
      <c r="D313" s="28"/>
      <c r="E313" s="28"/>
      <c r="F313" s="29"/>
      <c r="G313" s="29" t="s">
        <v>350</v>
      </c>
      <c r="H313" s="14">
        <f>I313+L313</f>
        <v>0</v>
      </c>
      <c r="I313" s="91">
        <f>I72+I71</f>
        <v>0</v>
      </c>
      <c r="J313" s="91" t="e">
        <f>J72+J71</f>
        <v>#DIV/0!</v>
      </c>
      <c r="K313" s="91">
        <f>K72+K71</f>
        <v>0</v>
      </c>
      <c r="L313" s="91">
        <f>L72+L71</f>
        <v>0</v>
      </c>
      <c r="M313" s="91">
        <f>M72+M71</f>
        <v>0</v>
      </c>
      <c r="N313" s="91"/>
      <c r="O313" s="91">
        <f aca="true" t="shared" si="96" ref="O313:T313">O72+O71</f>
        <v>0</v>
      </c>
      <c r="P313" s="91">
        <f t="shared" si="96"/>
        <v>0</v>
      </c>
      <c r="Q313" s="91">
        <f t="shared" si="96"/>
        <v>0</v>
      </c>
      <c r="R313" s="91">
        <f t="shared" si="96"/>
        <v>0</v>
      </c>
      <c r="S313" s="91" t="e">
        <f t="shared" si="96"/>
        <v>#DIV/0!</v>
      </c>
      <c r="T313" s="91">
        <f t="shared" si="96"/>
        <v>0</v>
      </c>
      <c r="U313" s="118"/>
      <c r="V313" s="117" t="e">
        <f>U313-#REF!</f>
        <v>#REF!</v>
      </c>
    </row>
    <row r="314" spans="3:20" s="103" customFormat="1" ht="71.25" customHeight="1">
      <c r="C314" s="102"/>
      <c r="D314" s="102"/>
      <c r="E314" s="102"/>
      <c r="F314" s="166" t="s">
        <v>391</v>
      </c>
      <c r="G314" s="166"/>
      <c r="H314" s="166"/>
      <c r="I314" s="102"/>
      <c r="J314" s="102"/>
      <c r="L314" s="104"/>
      <c r="M314" s="105"/>
      <c r="N314" s="105"/>
      <c r="O314" s="106"/>
      <c r="P314" s="105"/>
      <c r="Q314" s="105"/>
      <c r="R314" s="162" t="s">
        <v>392</v>
      </c>
      <c r="S314" s="162"/>
      <c r="T314" s="202"/>
    </row>
    <row r="315" spans="3:20" s="21" customFormat="1" ht="20.25">
      <c r="C315" s="27"/>
      <c r="D315" s="27"/>
      <c r="E315" s="27"/>
      <c r="F315" s="108"/>
      <c r="G315" s="79"/>
      <c r="H315" s="13"/>
      <c r="I315" s="13"/>
      <c r="J315" s="13"/>
      <c r="K315" s="16"/>
      <c r="L315" s="97"/>
      <c r="M315" s="13"/>
      <c r="N315" s="13"/>
      <c r="O315" s="14"/>
      <c r="P315" s="16"/>
      <c r="Q315" s="16"/>
      <c r="S315" s="93"/>
      <c r="T315" s="112"/>
    </row>
    <row r="316" spans="7:20" ht="20.25">
      <c r="G316" s="80"/>
      <c r="H316" s="57"/>
      <c r="I316" s="57"/>
      <c r="J316" s="57"/>
      <c r="K316" s="87"/>
      <c r="L316" s="98"/>
      <c r="M316" s="57"/>
      <c r="N316" s="57"/>
      <c r="O316" s="58"/>
      <c r="P316" s="58"/>
      <c r="Q316" s="58"/>
      <c r="R316" s="57"/>
      <c r="S316" s="57"/>
      <c r="T316" s="113"/>
    </row>
    <row r="317" spans="3:20" s="7" customFormat="1" ht="18.75">
      <c r="C317" s="27"/>
      <c r="D317" s="27"/>
      <c r="E317" s="27"/>
      <c r="F317" s="107"/>
      <c r="G317" s="80"/>
      <c r="H317" s="12"/>
      <c r="I317" s="12"/>
      <c r="J317" s="12"/>
      <c r="K317" s="12"/>
      <c r="L317" s="95"/>
      <c r="M317" s="12"/>
      <c r="N317" s="12"/>
      <c r="O317" s="12"/>
      <c r="P317" s="12"/>
      <c r="Q317" s="12"/>
      <c r="R317" s="12"/>
      <c r="S317" s="12"/>
      <c r="T317" s="111"/>
    </row>
    <row r="318" spans="3:20" s="7" customFormat="1" ht="18.75">
      <c r="C318" s="27"/>
      <c r="D318" s="27"/>
      <c r="E318" s="27"/>
      <c r="F318" s="109"/>
      <c r="G318" s="81"/>
      <c r="H318" s="12"/>
      <c r="I318" s="12"/>
      <c r="J318" s="12"/>
      <c r="K318" s="12"/>
      <c r="L318" s="95"/>
      <c r="M318" s="12"/>
      <c r="N318" s="12"/>
      <c r="O318" s="12"/>
      <c r="P318" s="12"/>
      <c r="Q318" s="12"/>
      <c r="R318" s="12"/>
      <c r="S318" s="12"/>
      <c r="T318" s="111"/>
    </row>
    <row r="319" spans="3:20" s="7" customFormat="1" ht="18.75">
      <c r="C319" s="27"/>
      <c r="D319" s="27"/>
      <c r="E319" s="27"/>
      <c r="F319" s="110"/>
      <c r="G319" s="80"/>
      <c r="H319" s="14"/>
      <c r="I319" s="148"/>
      <c r="J319" s="150"/>
      <c r="K319" s="14"/>
      <c r="L319" s="96"/>
      <c r="M319" s="12"/>
      <c r="N319" s="12"/>
      <c r="O319" s="20"/>
      <c r="P319" s="12"/>
      <c r="Q319" s="12"/>
      <c r="R319" s="12"/>
      <c r="S319" s="12"/>
      <c r="T319" s="111"/>
    </row>
    <row r="320" spans="6:20" ht="18.75">
      <c r="F320" s="110"/>
      <c r="G320" s="82"/>
      <c r="H320" s="6"/>
      <c r="I320" s="148"/>
      <c r="J320" s="151"/>
      <c r="K320" s="6"/>
      <c r="M320" s="6"/>
      <c r="N320" s="6"/>
      <c r="O320" s="23"/>
      <c r="P320" s="6"/>
      <c r="Q320" s="6"/>
      <c r="R320" s="6"/>
      <c r="S320" s="6"/>
      <c r="T320" s="114"/>
    </row>
    <row r="321" spans="6:20" ht="18.75">
      <c r="F321" s="110"/>
      <c r="G321" s="82"/>
      <c r="H321" s="6"/>
      <c r="I321" s="149"/>
      <c r="J321" s="152"/>
      <c r="K321" s="6"/>
      <c r="M321" s="6"/>
      <c r="N321" s="6"/>
      <c r="O321" s="23"/>
      <c r="P321" s="6"/>
      <c r="Q321" s="6"/>
      <c r="R321" s="6"/>
      <c r="S321" s="6"/>
      <c r="T321" s="114"/>
    </row>
    <row r="322" spans="7:10" ht="18.75">
      <c r="G322" s="80"/>
      <c r="I322" s="149"/>
      <c r="J322" s="153"/>
    </row>
    <row r="323" spans="7:20" ht="18.75">
      <c r="G323" s="80"/>
      <c r="H323" s="6"/>
      <c r="I323" s="148"/>
      <c r="J323" s="153"/>
      <c r="K323" s="6"/>
      <c r="M323" s="6"/>
      <c r="N323" s="6"/>
      <c r="O323" s="24"/>
      <c r="P323" s="6"/>
      <c r="Q323" s="6"/>
      <c r="R323" s="6"/>
      <c r="S323" s="6"/>
      <c r="T323" s="114"/>
    </row>
    <row r="324" spans="7:10" ht="18.75">
      <c r="G324" s="80"/>
      <c r="I324" s="149"/>
      <c r="J324" s="153"/>
    </row>
    <row r="325" spans="7:20" ht="18.75">
      <c r="G325" s="80"/>
      <c r="H325" s="6"/>
      <c r="I325" s="148"/>
      <c r="J325" s="153"/>
      <c r="K325" s="6"/>
      <c r="M325" s="6"/>
      <c r="N325" s="6"/>
      <c r="O325" s="25"/>
      <c r="P325" s="6"/>
      <c r="Q325" s="6"/>
      <c r="R325" s="6"/>
      <c r="S325" s="6"/>
      <c r="T325" s="114"/>
    </row>
    <row r="326" spans="7:11" ht="18.75">
      <c r="G326" s="80"/>
      <c r="I326" s="95"/>
      <c r="J326" s="155"/>
      <c r="K326" s="153"/>
    </row>
    <row r="327" spans="7:10" ht="18.75">
      <c r="G327" s="80"/>
      <c r="H327" s="4"/>
      <c r="I327" s="4"/>
      <c r="J327" s="153"/>
    </row>
    <row r="328" spans="7:9" ht="18.75">
      <c r="G328" s="80"/>
      <c r="H328" s="4"/>
      <c r="I328" s="4"/>
    </row>
    <row r="329" spans="7:10" ht="18.75">
      <c r="G329" s="80"/>
      <c r="J329" s="12"/>
    </row>
    <row r="330" ht="18.75">
      <c r="G330" s="12"/>
    </row>
  </sheetData>
  <sheetProtection/>
  <mergeCells count="33">
    <mergeCell ref="P1:S1"/>
    <mergeCell ref="F5:T5"/>
    <mergeCell ref="S6:T6"/>
    <mergeCell ref="P2:S2"/>
    <mergeCell ref="D4:T4"/>
    <mergeCell ref="D7:D10"/>
    <mergeCell ref="E7:E10"/>
    <mergeCell ref="R8:R10"/>
    <mergeCell ref="S89:S90"/>
    <mergeCell ref="P8:P10"/>
    <mergeCell ref="S8:S10"/>
    <mergeCell ref="K7:O7"/>
    <mergeCell ref="P7:S7"/>
    <mergeCell ref="M8:N9"/>
    <mergeCell ref="F314:H314"/>
    <mergeCell ref="L8:L10"/>
    <mergeCell ref="I8:I10"/>
    <mergeCell ref="C7:C10"/>
    <mergeCell ref="F7:F10"/>
    <mergeCell ref="H8:H10"/>
    <mergeCell ref="J8:J10"/>
    <mergeCell ref="K8:K10"/>
    <mergeCell ref="H7:J7"/>
    <mergeCell ref="R314:S314"/>
    <mergeCell ref="G7:G8"/>
    <mergeCell ref="M89:M90"/>
    <mergeCell ref="O89:O90"/>
    <mergeCell ref="H89:H90"/>
    <mergeCell ref="J89:J90"/>
    <mergeCell ref="O8:O10"/>
    <mergeCell ref="Q8:Q10"/>
    <mergeCell ref="K89:K90"/>
    <mergeCell ref="R89:R90"/>
  </mergeCells>
  <conditionalFormatting sqref="M288:N289 M248:N248 M25:N25 H16 M61:N61 L297:L300 H164:I164 M219:N220 M291:N293 M285:N285 O192:T192 O164:T164 H35:H36 H33:Q33 T39:T42 H196:I197 M207:N208 O297:T297 M222:N227 M279:N283 H15:I15 M213:N217 M277:O277 H273:I273 I274:I275 O197:T197 H192:I192 K15:L15 J34:J63 K164:L164 K192:L192 K273:T273 K196:L197 T15 K34:M34 O34:O57 T44:T48 T50 P34:Q54 P55 H34:I34 S33:T33 T34:T36 S34:S55 M125 P165:S166 T196 R193:S196 J100:J311 K274:L275 O274:T275 T277 O298:O300 T298:T300 P298:S307">
    <cfRule type="cellIs" priority="33" dxfId="18" operator="equal" stopIfTrue="1">
      <formula>0</formula>
    </cfRule>
  </conditionalFormatting>
  <conditionalFormatting sqref="O75 T75">
    <cfRule type="cellIs" priority="21" dxfId="18" operator="equal" stopIfTrue="1">
      <formula>0</formula>
    </cfRule>
  </conditionalFormatting>
  <conditionalFormatting sqref="T49">
    <cfRule type="cellIs" priority="19" dxfId="18" operator="equal" stopIfTrue="1">
      <formula>0</formula>
    </cfRule>
  </conditionalFormatting>
  <conditionalFormatting sqref="M199:N201">
    <cfRule type="cellIs" priority="18" dxfId="18" operator="equal" stopIfTrue="1">
      <formula>0</formula>
    </cfRule>
  </conditionalFormatting>
  <conditionalFormatting sqref="H264:I267 K264:T267 P268:S269">
    <cfRule type="cellIs" priority="17" dxfId="18" operator="equal" stopIfTrue="1">
      <formula>0</formula>
    </cfRule>
  </conditionalFormatting>
  <conditionalFormatting sqref="T43">
    <cfRule type="cellIs" priority="16" dxfId="18" operator="equal" stopIfTrue="1">
      <formula>0</formula>
    </cfRule>
  </conditionalFormatting>
  <conditionalFormatting sqref="H193:H195 I195 I193 K195:L195 K193:L193 O193:Q196 T193:T195">
    <cfRule type="cellIs" priority="15" dxfId="18" operator="equal" stopIfTrue="1">
      <formula>0</formula>
    </cfRule>
  </conditionalFormatting>
  <conditionalFormatting sqref="M286:T286">
    <cfRule type="cellIs" priority="13" dxfId="18" operator="equal" stopIfTrue="1">
      <formula>0</formula>
    </cfRule>
  </conditionalFormatting>
  <conditionalFormatting sqref="M221:N221">
    <cfRule type="cellIs" priority="11" dxfId="18" operator="equal" stopIfTrue="1">
      <formula>0</formula>
    </cfRule>
  </conditionalFormatting>
  <conditionalFormatting sqref="M206:N206">
    <cfRule type="cellIs" priority="10" dxfId="18" operator="equal" stopIfTrue="1">
      <formula>0</formula>
    </cfRule>
  </conditionalFormatting>
  <conditionalFormatting sqref="M230:N230">
    <cfRule type="cellIs" priority="9" dxfId="18" operator="equal" stopIfTrue="1">
      <formula>0</formula>
    </cfRule>
  </conditionalFormatting>
  <conditionalFormatting sqref="M209:N209">
    <cfRule type="cellIs" priority="8" dxfId="18" operator="equal" stopIfTrue="1">
      <formula>0</formula>
    </cfRule>
  </conditionalFormatting>
  <conditionalFormatting sqref="H257:H260">
    <cfRule type="cellIs" priority="7" dxfId="18" operator="equal" stopIfTrue="1">
      <formula>0</formula>
    </cfRule>
  </conditionalFormatting>
  <conditionalFormatting sqref="J66:J88">
    <cfRule type="cellIs" priority="6" dxfId="18" operator="equal" stopIfTrue="1">
      <formula>0</formula>
    </cfRule>
  </conditionalFormatting>
  <conditionalFormatting sqref="J91:J95">
    <cfRule type="cellIs" priority="5" dxfId="18" operator="equal" stopIfTrue="1">
      <formula>0</formula>
    </cfRule>
  </conditionalFormatting>
  <conditionalFormatting sqref="J98:J99">
    <cfRule type="cellIs" priority="4" dxfId="18" operator="equal" stopIfTrue="1">
      <formula>0</formula>
    </cfRule>
  </conditionalFormatting>
  <conditionalFormatting sqref="K35">
    <cfRule type="cellIs" priority="2" dxfId="18" operator="equal" stopIfTrue="1">
      <formula>0</formula>
    </cfRule>
  </conditionalFormatting>
  <conditionalFormatting sqref="M75">
    <cfRule type="cellIs" priority="1" dxfId="18" operator="equal" stopIfTrue="1">
      <formula>0</formula>
    </cfRule>
  </conditionalFormatting>
  <printOptions horizontalCentered="1"/>
  <pageMargins left="0.11811023622047245" right="0.11811023622047245" top="0.984251968503937" bottom="0.3937007874015748" header="0.5118110236220472" footer="0"/>
  <pageSetup blackAndWhite="1" fitToHeight="20" horizontalDpi="600" verticalDpi="600" orientation="landscape" paperSize="9" scale="45" r:id="rId1"/>
  <headerFooter differentFirst="1" alignWithMargins="0">
    <oddFooter>&amp;C&amp;P</oddFooter>
  </headerFooter>
  <rowBreaks count="8" manualBreakCount="8">
    <brk id="30" max="18" man="1"/>
    <brk id="155" max="18" man="1"/>
    <brk id="173" max="18" man="1"/>
    <brk id="189" max="18" man="1"/>
    <brk id="218" max="18" man="1"/>
    <brk id="234" max="18" man="1"/>
    <brk id="261" max="18" man="1"/>
    <brk id="273"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Корецкая</cp:lastModifiedBy>
  <cp:lastPrinted>2017-04-24T12:48:43Z</cp:lastPrinted>
  <dcterms:created xsi:type="dcterms:W3CDTF">2002-12-16T07:25:53Z</dcterms:created>
  <dcterms:modified xsi:type="dcterms:W3CDTF">2017-05-29T12:57:56Z</dcterms:modified>
  <cp:category/>
  <cp:version/>
  <cp:contentType/>
  <cp:contentStatus/>
</cp:coreProperties>
</file>